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Win10\Documents\UTN\Materias UTN\LOI\Proyecto Final\"/>
    </mc:Choice>
  </mc:AlternateContent>
  <xr:revisionPtr revIDLastSave="0" documentId="13_ncr:1_{46E6ECEE-BCA3-45D7-830F-A05C26336FC4}" xr6:coauthVersionLast="37" xr6:coauthVersionMax="37" xr10:uidLastSave="{00000000-0000-0000-0000-000000000000}"/>
  <bookViews>
    <workbookView xWindow="0" yWindow="0" windowWidth="20490" windowHeight="7545" firstSheet="6" activeTab="8" xr2:uid="{00000000-000D-0000-FFFF-FFFF00000000}"/>
  </bookViews>
  <sheets>
    <sheet name="PLANILLA DE PERSONAL" sheetId="4" r:id="rId1"/>
    <sheet name="costo de mp y montos de venta" sheetId="1" r:id="rId2"/>
    <sheet name="costos de conversión" sheetId="2" r:id="rId3"/>
    <sheet name="Gastos de envasado" sheetId="3" r:id="rId4"/>
    <sheet name="Gasto de ventas" sheetId="5" r:id="rId5"/>
    <sheet name="COSTO DE FABRICACIÓN Y VENTAS" sheetId="8" r:id="rId6"/>
    <sheet name="Capital Fijo" sheetId="6" r:id="rId7"/>
    <sheet name="Activos Intangibles" sheetId="14" r:id="rId8"/>
    <sheet name="Capital de trabajo" sheetId="7" r:id="rId9"/>
    <sheet name="OBSERVACIONES Y REFERENCIAS" sheetId="13" r:id="rId10"/>
  </sheets>
  <calcPr calcId="179021"/>
</workbook>
</file>

<file path=xl/calcChain.xml><?xml version="1.0" encoding="utf-8"?>
<calcChain xmlns="http://schemas.openxmlformats.org/spreadsheetml/2006/main">
  <c r="E38" i="7" l="1"/>
  <c r="E35" i="7"/>
  <c r="E36" i="7"/>
  <c r="E37" i="7"/>
  <c r="E13" i="14"/>
  <c r="C8" i="7"/>
  <c r="C7" i="7"/>
  <c r="E10" i="14"/>
  <c r="C9" i="14"/>
  <c r="C10" i="14" s="1"/>
  <c r="C11" i="14" s="1"/>
  <c r="C12" i="14" s="1"/>
  <c r="B13" i="14" s="1"/>
  <c r="F12" i="14" l="1"/>
  <c r="E12" i="14" s="1"/>
  <c r="E4" i="5"/>
  <c r="D16" i="4" l="1"/>
  <c r="D5" i="1"/>
  <c r="E5" i="1"/>
  <c r="G5" i="1" s="1"/>
  <c r="D7" i="1"/>
  <c r="E21" i="4" l="1"/>
  <c r="E14" i="4"/>
  <c r="F14" i="4" s="1"/>
  <c r="G14" i="4" s="1"/>
  <c r="C28" i="4" s="1"/>
  <c r="F21" i="4" l="1"/>
  <c r="G21" i="4" s="1"/>
  <c r="E15" i="8"/>
  <c r="F7" i="1" l="1"/>
  <c r="G8" i="2" l="1"/>
  <c r="E16" i="8"/>
  <c r="C9" i="7"/>
  <c r="C10" i="7" s="1"/>
  <c r="C11" i="7" s="1"/>
  <c r="B12" i="7" s="1"/>
  <c r="B14" i="7" s="1"/>
  <c r="C15" i="7" s="1"/>
  <c r="C16" i="7" s="1"/>
  <c r="C17" i="7" s="1"/>
  <c r="C18" i="7" s="1"/>
  <c r="C19" i="7" s="1"/>
  <c r="B20" i="7" s="1"/>
  <c r="B23" i="7" l="1"/>
  <c r="C24" i="7" s="1"/>
  <c r="C25" i="7" s="1"/>
  <c r="B26" i="7" s="1"/>
  <c r="F16" i="6"/>
  <c r="F15" i="6"/>
  <c r="F14" i="6"/>
  <c r="F13" i="6"/>
  <c r="F12" i="6"/>
  <c r="F11" i="6"/>
  <c r="F10" i="6"/>
  <c r="F9" i="6"/>
  <c r="F7" i="6"/>
  <c r="F8" i="6"/>
  <c r="F6" i="6"/>
  <c r="F6" i="1"/>
  <c r="D12" i="4" l="1"/>
  <c r="B21" i="6" l="1"/>
  <c r="B22" i="6" s="1"/>
  <c r="B23" i="6" s="1"/>
  <c r="B24" i="6" s="1"/>
  <c r="B6" i="6"/>
  <c r="B7" i="6" s="1"/>
  <c r="B8" i="6" s="1"/>
  <c r="B9" i="6" s="1"/>
  <c r="B10" i="6" s="1"/>
  <c r="B11" i="6" s="1"/>
  <c r="E7" i="3"/>
  <c r="B23" i="4"/>
  <c r="C22" i="4"/>
  <c r="D22" i="4" s="1"/>
  <c r="E22" i="4" s="1"/>
  <c r="C20" i="4"/>
  <c r="D20" i="4" s="1"/>
  <c r="E20" i="4" s="1"/>
  <c r="E18" i="4"/>
  <c r="D18" i="4"/>
  <c r="D17" i="4"/>
  <c r="E17" i="4" s="1"/>
  <c r="F17" i="4" s="1"/>
  <c r="G17" i="4" s="1"/>
  <c r="E16" i="4"/>
  <c r="F16" i="4" s="1"/>
  <c r="G16" i="4" s="1"/>
  <c r="C26" i="4" s="1"/>
  <c r="D15" i="4"/>
  <c r="E15" i="4" s="1"/>
  <c r="E12" i="4"/>
  <c r="F12" i="4" s="1"/>
  <c r="D11" i="4"/>
  <c r="E11" i="4" s="1"/>
  <c r="F11" i="4" s="1"/>
  <c r="E10" i="4"/>
  <c r="D10" i="4"/>
  <c r="E8" i="4"/>
  <c r="D8" i="4"/>
  <c r="D7" i="4"/>
  <c r="E7" i="4" s="1"/>
  <c r="F7" i="4" s="1"/>
  <c r="C6" i="4"/>
  <c r="D6" i="4" s="1"/>
  <c r="E6" i="4" s="1"/>
  <c r="F6" i="4" s="1"/>
  <c r="D5" i="4"/>
  <c r="E5" i="4" s="1"/>
  <c r="F5" i="4" s="1"/>
  <c r="E3" i="4"/>
  <c r="F3" i="4" s="1"/>
  <c r="C3" i="4"/>
  <c r="D3" i="4" s="1"/>
  <c r="F20" i="4" l="1"/>
  <c r="G20" i="4" s="1"/>
  <c r="F22" i="4"/>
  <c r="G22" i="4" s="1"/>
  <c r="F18" i="4"/>
  <c r="G18" i="4" s="1"/>
  <c r="F8" i="4"/>
  <c r="G8" i="4" s="1"/>
  <c r="F15" i="4"/>
  <c r="G15" i="4" s="1"/>
  <c r="F10" i="4"/>
  <c r="G10" i="4" s="1"/>
  <c r="K17" i="2" s="1"/>
  <c r="F17" i="6"/>
  <c r="G6" i="4"/>
  <c r="G7" i="4"/>
  <c r="G11" i="4"/>
  <c r="G5" i="4"/>
  <c r="G12" i="4"/>
  <c r="G3" i="4"/>
  <c r="K16" i="2" l="1"/>
  <c r="C27" i="4"/>
  <c r="C29" i="4"/>
  <c r="K26" i="2" s="1"/>
  <c r="C25" i="4"/>
  <c r="K14" i="2" s="1"/>
  <c r="F18" i="6"/>
  <c r="G23" i="4"/>
  <c r="F21" i="6" l="1"/>
  <c r="F25" i="6" s="1"/>
  <c r="F24" i="6"/>
  <c r="F20" i="6"/>
  <c r="F23" i="6"/>
  <c r="K23" i="2"/>
  <c r="F28" i="6" l="1"/>
  <c r="F27" i="6"/>
  <c r="F29" i="6"/>
  <c r="F31" i="6" s="1"/>
  <c r="E8" i="7" l="1"/>
  <c r="K22" i="2"/>
  <c r="K15" i="2"/>
  <c r="K25" i="2"/>
  <c r="K24" i="2"/>
  <c r="G9" i="2"/>
  <c r="K9" i="2" s="1"/>
  <c r="G10" i="2"/>
  <c r="K8" i="2"/>
  <c r="D20" i="1"/>
  <c r="D21" i="1" s="1"/>
  <c r="E7" i="1"/>
  <c r="G7" i="1" s="1"/>
  <c r="D6" i="1"/>
  <c r="E6" i="1" s="1"/>
  <c r="G6" i="1" s="1"/>
  <c r="G15" i="1" l="1"/>
  <c r="E10" i="7" s="1"/>
  <c r="G8" i="1"/>
  <c r="E16" i="7"/>
  <c r="E7" i="7"/>
  <c r="K10" i="2"/>
  <c r="K12" i="2" s="1"/>
  <c r="K28" i="2"/>
  <c r="E4" i="8" l="1"/>
  <c r="K19" i="2"/>
  <c r="K30" i="2" s="1"/>
  <c r="E20" i="7" l="1"/>
  <c r="E5" i="8"/>
  <c r="E6" i="8" s="1"/>
  <c r="E7" i="5" l="1"/>
  <c r="E11" i="7"/>
  <c r="E12" i="7" s="1"/>
  <c r="E24" i="7" s="1"/>
  <c r="E6" i="5"/>
  <c r="E25" i="7"/>
  <c r="E8" i="8"/>
  <c r="E26" i="7" l="1"/>
  <c r="E9" i="5"/>
  <c r="E9" i="8" l="1"/>
  <c r="E10" i="8" s="1"/>
</calcChain>
</file>

<file path=xl/sharedStrings.xml><?xml version="1.0" encoding="utf-8"?>
<sst xmlns="http://schemas.openxmlformats.org/spreadsheetml/2006/main" count="334" uniqueCount="270">
  <si>
    <t>COSTO DE MATERIAS PRIMAS Y MATERIALES DE PROCESO</t>
  </si>
  <si>
    <t>Ref.</t>
  </si>
  <si>
    <t>Items</t>
  </si>
  <si>
    <t>Rinde</t>
  </si>
  <si>
    <t>Cantidad anual</t>
  </si>
  <si>
    <t>Costo unitario</t>
  </si>
  <si>
    <t>Costo anual</t>
  </si>
  <si>
    <t>(tn/tn de producto)</t>
  </si>
  <si>
    <t>(tn/año)</t>
  </si>
  <si>
    <t>($/tn)</t>
  </si>
  <si>
    <t>(miles $/año)</t>
  </si>
  <si>
    <t>MATERIAS PRIMAS</t>
  </si>
  <si>
    <t>Azufre solido</t>
  </si>
  <si>
    <t>TOTAL MATERIAS PRIMAS</t>
  </si>
  <si>
    <t>MATERIALES DE PROCESO</t>
  </si>
  <si>
    <t>TOTAL MATERIALES DE PROCESO</t>
  </si>
  <si>
    <t>CRÉDITO POR SUBPRODUCTOS</t>
  </si>
  <si>
    <t>TOTAL CRÉDITOS POR SUBPRODUCTOS</t>
  </si>
  <si>
    <t>TOTAL MATERIAS PRIMAS Y MATERIALES DE PROCESO</t>
  </si>
  <si>
    <t>PRODUCCIÓN ANUAL</t>
  </si>
  <si>
    <t>tn/año</t>
  </si>
  <si>
    <t>Monto de ventas</t>
  </si>
  <si>
    <t>Precio de venta</t>
  </si>
  <si>
    <t>Ton/año</t>
  </si>
  <si>
    <t>$/Ton</t>
  </si>
  <si>
    <t>MONTO DE VENTAS</t>
  </si>
  <si>
    <t>Cantidad de producción</t>
  </si>
  <si>
    <t>tn/día</t>
  </si>
  <si>
    <t>miles $/tn</t>
  </si>
  <si>
    <t>miles $/día</t>
  </si>
  <si>
    <t>miles $/año</t>
  </si>
  <si>
    <t>Solución de hidroxido de sodio 50%</t>
  </si>
  <si>
    <t>COSTO DE CONVERSIÓN</t>
  </si>
  <si>
    <t>REF</t>
  </si>
  <si>
    <t>ITEMS</t>
  </si>
  <si>
    <t>RINDE</t>
  </si>
  <si>
    <t>CONSUMO ANUAL</t>
  </si>
  <si>
    <t>COSTO UNITARIO</t>
  </si>
  <si>
    <t>COSTO ANUAL</t>
  </si>
  <si>
    <t>valor</t>
  </si>
  <si>
    <t>unidad</t>
  </si>
  <si>
    <t xml:space="preserve">valor </t>
  </si>
  <si>
    <t>miles de $</t>
  </si>
  <si>
    <t>COSTO DIRECTO DE CONVERSIÓN</t>
  </si>
  <si>
    <t>SERVICIOS</t>
  </si>
  <si>
    <t>Electricidad</t>
  </si>
  <si>
    <t>Kw-h/ton prod</t>
  </si>
  <si>
    <t>Kw-h/año</t>
  </si>
  <si>
    <t>$/Kw-h</t>
  </si>
  <si>
    <t>Ton/ton prod</t>
  </si>
  <si>
    <t>Vapor</t>
  </si>
  <si>
    <t>Agua</t>
  </si>
  <si>
    <t>TOTAL SERVICIOS</t>
  </si>
  <si>
    <t>Mano de obra</t>
  </si>
  <si>
    <t>Mantenimiento</t>
  </si>
  <si>
    <t>Laboratorio</t>
  </si>
  <si>
    <t>Ingeniería de procesos</t>
  </si>
  <si>
    <t>TOTAL COSTOS DIRECTOS</t>
  </si>
  <si>
    <t>COSTO INDIRECTO DE CONVERSIÓN</t>
  </si>
  <si>
    <t>Depreciación de equipos</t>
  </si>
  <si>
    <t>Depreciación de construcciones</t>
  </si>
  <si>
    <t>Impuestos varios</t>
  </si>
  <si>
    <t>Seguros</t>
  </si>
  <si>
    <t>Indirectos de fabricación</t>
  </si>
  <si>
    <t>TOTAL COSTOS INDIRECTOS</t>
  </si>
  <si>
    <t>TOTAL COSTOS DE CONVERSIÓN</t>
  </si>
  <si>
    <t>Cargo</t>
  </si>
  <si>
    <t>Cantidad</t>
  </si>
  <si>
    <t>Sueldo ($/mes)</t>
  </si>
  <si>
    <t>Gasto total ($/mes)</t>
  </si>
  <si>
    <t>Sueldo ($/año)</t>
  </si>
  <si>
    <t>Cargas Sociales ($/año)</t>
  </si>
  <si>
    <t>Gasto total anual ($/año)</t>
  </si>
  <si>
    <t>PERSONAL DE DIRECCIÓN</t>
  </si>
  <si>
    <t>PERSONAL DE ADMINISTRACIÓN</t>
  </si>
  <si>
    <t>Jefe de administrativo y comercial</t>
  </si>
  <si>
    <t>Personal administrativo</t>
  </si>
  <si>
    <t>Contador</t>
  </si>
  <si>
    <t>Licenciado en recursos humanos</t>
  </si>
  <si>
    <t>PERSONAL DE PRODUCCIÓN</t>
  </si>
  <si>
    <t>Supervisor de planta</t>
  </si>
  <si>
    <t>Operario de Planta</t>
  </si>
  <si>
    <t>PERSONAL DEL AREA TECNICA</t>
  </si>
  <si>
    <t>Operario de mantenimiento</t>
  </si>
  <si>
    <t>Supervisor de calidad</t>
  </si>
  <si>
    <t>Laboratorista</t>
  </si>
  <si>
    <t>SERVICIOS TERCERIZADOS</t>
  </si>
  <si>
    <t>Servicio de Limpieza</t>
  </si>
  <si>
    <t>Servicio de vigilancia</t>
  </si>
  <si>
    <t>TOTALES</t>
  </si>
  <si>
    <t>Gasto total mano de obra y supervision directa</t>
  </si>
  <si>
    <t>Ingenieria de procesos</t>
  </si>
  <si>
    <t>COSTO DE ENVASADO</t>
  </si>
  <si>
    <t>Ref</t>
  </si>
  <si>
    <t>item</t>
  </si>
  <si>
    <t>Costo anual          (miles $/año)</t>
  </si>
  <si>
    <t>Envases</t>
  </si>
  <si>
    <t>Materiales para envasar</t>
  </si>
  <si>
    <t>Mano de obra de envasamiento</t>
  </si>
  <si>
    <t>Total de costos de envasado</t>
  </si>
  <si>
    <t>GASTO DE VENTAS</t>
  </si>
  <si>
    <t>Sueldos</t>
  </si>
  <si>
    <t>Propagandas</t>
  </si>
  <si>
    <t>Servicio técnico de asesoramiento</t>
  </si>
  <si>
    <t>Investigación del mercado</t>
  </si>
  <si>
    <t>Relaciones públicas</t>
  </si>
  <si>
    <t>Total gasto de ventas</t>
  </si>
  <si>
    <t>CAPITAL FIJO</t>
  </si>
  <si>
    <t>CANT</t>
  </si>
  <si>
    <t>COSTO TOTAL</t>
  </si>
  <si>
    <t>(US$/unidad)</t>
  </si>
  <si>
    <t>miles de ($)</t>
  </si>
  <si>
    <t>EQUIPOS DEL PROCESO</t>
  </si>
  <si>
    <t>Tuberías de proceso</t>
  </si>
  <si>
    <t>Costo de instrumentación</t>
  </si>
  <si>
    <t>Costo de terrenos y construcciones</t>
  </si>
  <si>
    <t>Servicios auxiliares</t>
  </si>
  <si>
    <t>Costo lineas exteriores</t>
  </si>
  <si>
    <t>COSTO TOTAL PLANTA FÍSICA</t>
  </si>
  <si>
    <t>Ingeniería y construcción</t>
  </si>
  <si>
    <t>Contingencias</t>
  </si>
  <si>
    <t>Factor tamaño</t>
  </si>
  <si>
    <t>COSTO TOTAL DE CAPITAL FIJO</t>
  </si>
  <si>
    <t>TOTAL COSTO EQUIPOS DE PROCESO</t>
  </si>
  <si>
    <t>COSTO TOTAL DE EQUIPOS INSTALADOS</t>
  </si>
  <si>
    <t>El costo de instalación se considera un 42% del costo de los equipos de proceso</t>
  </si>
  <si>
    <t>El costo de instrumentación se calcula como un 15% del costo total de equipos</t>
  </si>
  <si>
    <t>El costo de terrenos y construcciones se calcula como un 50% del costo total de equipos</t>
  </si>
  <si>
    <t>El costo de servicios auxiliares se calcula como un 50% del costo total de equipos</t>
  </si>
  <si>
    <t>El costo de líneas exteriores se calcula como un 15% del costo total de equipos</t>
  </si>
  <si>
    <t>El costo de Ingeniería y Construcción se calcula como un 45% del costo total de la planta física</t>
  </si>
  <si>
    <t>El costo de contingencias se calcula como un 15% del costo total de la planta física</t>
  </si>
  <si>
    <t>El costo del factor tamaño se calcula como un 2,5% del costo total de la planta física</t>
  </si>
  <si>
    <t>Bomba centrifuga multietapa B1</t>
  </si>
  <si>
    <t>Centrifuga B2,B3, B4, B5, B6,B7, B8, B9</t>
  </si>
  <si>
    <t>Ventilador B10</t>
  </si>
  <si>
    <t>Tanque E5</t>
  </si>
  <si>
    <t>Tanque E6</t>
  </si>
  <si>
    <t>Tanque E7-E10</t>
  </si>
  <si>
    <t>Tanque E15</t>
  </si>
  <si>
    <t>Torre de absorción E11-E14</t>
  </si>
  <si>
    <t>Torre de enfriamiento E4</t>
  </si>
  <si>
    <t>Horno quemador E2</t>
  </si>
  <si>
    <t>Caldera Humutubular</t>
  </si>
  <si>
    <t>CAPITAL EN GIRO</t>
  </si>
  <si>
    <t>miles de $ / año</t>
  </si>
  <si>
    <t>INVENTARIO</t>
  </si>
  <si>
    <t>Materias primas</t>
  </si>
  <si>
    <t>Repuestos</t>
  </si>
  <si>
    <t>TOTAL INVENTARIO</t>
  </si>
  <si>
    <t>ACTIVO MONETARIO NETO</t>
  </si>
  <si>
    <t>Créditos a clientes</t>
  </si>
  <si>
    <t>Créditos de proveedores</t>
  </si>
  <si>
    <t>Crédito fiscal</t>
  </si>
  <si>
    <t>Débito fiscal</t>
  </si>
  <si>
    <t>Caja en efectivo</t>
  </si>
  <si>
    <t>TOTAL ACTIVO MONETARIO NETO</t>
  </si>
  <si>
    <t>CAPITAL EN GIRO O DE TRABAJO</t>
  </si>
  <si>
    <t>Inventario</t>
  </si>
  <si>
    <t>Activo monetario neto</t>
  </si>
  <si>
    <t>TOTAL CAPITAL DE TRABAJO</t>
  </si>
  <si>
    <t>Se consideran 15 días de stock para las materias primas</t>
  </si>
  <si>
    <t>El costo anual de inventario correspondiente a repuestos de calcula como el 1% del costo fijo</t>
  </si>
  <si>
    <t>No se realiza envasado</t>
  </si>
  <si>
    <t>No se almacena producto en elaboración</t>
  </si>
  <si>
    <t>Los créditos a clientes se consideran como los ingresos por ventas correspondientes a 30 días</t>
  </si>
  <si>
    <t>Los créditos de proveedores se consideran como los costos de materia prima, materiales de proceso y repuestos para 30 días</t>
  </si>
  <si>
    <t>Al considerarse el Crédito Fiscal a 30 días, su valor es 0</t>
  </si>
  <si>
    <t>Al considerarse el Débito Fiscal a 30 días, su valor es 0</t>
  </si>
  <si>
    <t>La caja en efectivo se obtiene como la diferencia entre el costo de conversión total y las amortizaciones para 30 días</t>
  </si>
  <si>
    <t>Diferencia entre la suma de los créditos a clientes, débito fiscal y  caja en efectivo; y la suma de los créditos de proveedores y el crédito fiscal</t>
  </si>
  <si>
    <t>La inflación fue estimada a partir de datos económicos actuales de la Argentina</t>
  </si>
  <si>
    <t>El ajuste por inflación se obtiene de aplicar el porcentaje de inflación al activo monetario neto</t>
  </si>
  <si>
    <t>COSTO DE FABRICACIÓN Y VENTAS</t>
  </si>
  <si>
    <t>Costo anual (miles $/año)</t>
  </si>
  <si>
    <t>Total Materias Primas y Materiales de Procesos</t>
  </si>
  <si>
    <t>Total Costos de Conversión</t>
  </si>
  <si>
    <t>Total Costo de Fabricación a granel</t>
  </si>
  <si>
    <t>Total de costos de producto envasado</t>
  </si>
  <si>
    <t>Total Gastos de Venta</t>
  </si>
  <si>
    <t>Costo total del producto</t>
  </si>
  <si>
    <t>PRECIO DE VENTA</t>
  </si>
  <si>
    <t>Unidad</t>
  </si>
  <si>
    <t>$/tn</t>
  </si>
  <si>
    <t>Bisulfito producido</t>
  </si>
  <si>
    <t xml:space="preserve">Precio de Venta </t>
  </si>
  <si>
    <t>Representa el monto de ventas por año</t>
  </si>
  <si>
    <t>Representa el costo de fabricación y ventas anual</t>
  </si>
  <si>
    <t>Diferencia entre las ventas totales y el costo total del producto</t>
  </si>
  <si>
    <t>Diferencia entre la utilidad bruta y el ajuste por inflación</t>
  </si>
  <si>
    <t>-</t>
  </si>
  <si>
    <t>El impuesto a las ganancias se considera el 35% de la utilidad imponible</t>
  </si>
  <si>
    <t>Diferencia entre la utilidad imponible y el impuesto a las ganancias</t>
  </si>
  <si>
    <t>Suma de los costos totales de capital fijo y capital en giro</t>
  </si>
  <si>
    <t>El costo unitario de la electricidad fue proporcionado por los profesores de la cátedra; el consumo eléctrico por tonelada de producto producida (rinde) se estimó utilizando los datos de la figura 6.34 del libro Ingeniería Química del Diseño de Plantas Industriales de Frank Vilbrandt.</t>
  </si>
  <si>
    <t>El costo unitario del vapor fue proporcionado por los profesores de la cátedra; el consumo de vapor por tonelada de producto producida (rinde) se estimó utilizando los datos de la figura de la página 201 del libro Ingeniería Química del Diseño de Plantas Industriales de Frank Vilbrandt.</t>
  </si>
  <si>
    <t>Item</t>
  </si>
  <si>
    <t xml:space="preserve">Ventas/año </t>
  </si>
  <si>
    <t>REFERENCIA</t>
  </si>
  <si>
    <t>OBSERVACIONES</t>
  </si>
  <si>
    <t>Suma del total de materias primas y materiales de proceso, menos el crédito por subproducto vendido</t>
  </si>
  <si>
    <t>Capacidad diaria de producción de la planta (582,7 Kg/h)</t>
  </si>
  <si>
    <t>Suma de los costos anuales debidos a servicios</t>
  </si>
  <si>
    <t>Suma de los costos directos anuales</t>
  </si>
  <si>
    <t>Suma de los costos indirectos anuales</t>
  </si>
  <si>
    <t>Suma de los costos directos e indirectos de conversión</t>
  </si>
  <si>
    <t>No se realiza envasado; el transporte del producto se realiza en camiones cisterna</t>
  </si>
  <si>
    <t>Se realizará investigación de mercado sólo para decidir la capacidad de producción de la planta, pero no será una actividad continua en la empresa</t>
  </si>
  <si>
    <t>Costos de los equipos, estimados haciendo uso de la página www.matche.com.</t>
  </si>
  <si>
    <t>El costo de tuberías de proceso se calcula como un 45% del costo total de equipos</t>
  </si>
  <si>
    <t>Proporción que representan los costos fijos del total de gastos anuales</t>
  </si>
  <si>
    <t>Proporción que representan los costos variables del total de gastos anuales</t>
  </si>
  <si>
    <t>Cociente entre la utilidad bruta y la inversión total de capital expresado en porcentaje</t>
  </si>
  <si>
    <t>Cociente entre la utilidad neta y la inversión total de capital expresado en porcentaje</t>
  </si>
  <si>
    <t>El costo unitario del azufre sólido fue brindado por Maiten S.R.L . La cantidad anual consumida se obtuvo de los balances de materia.</t>
  </si>
  <si>
    <t>Costo anual de las materias primas.</t>
  </si>
  <si>
    <t>No se obtienen subproductos.</t>
  </si>
  <si>
    <t>No se utilizan materiales de proceso.</t>
  </si>
  <si>
    <t>El precio de venta del bisulfito de sodio se obtuvo de datos del mercado.</t>
  </si>
  <si>
    <t>Ingreso por ventas.</t>
  </si>
  <si>
    <t>El costo unitario del agua fue proporcionado por los profesores de la cátedra; el consumo de agua de proceso por tonelada de producto se calculó a partir del balance de materia.</t>
  </si>
  <si>
    <t>Los costos anuales de mano de obra corresponden a la suma de los sueldos de los operarios y los supervisores de planta.</t>
  </si>
  <si>
    <t>Los costos anuales de mantenimiento corresponden a los sueldos del operario de mantenimiento y supervisor de mantenimiento, y a gastos de mantenimiento (4% del capital fijo).</t>
  </si>
  <si>
    <t>Los costos anuales de laboratorio corresponden a los sueldos del laboratorista y del supervisor de calidad, y a gastos de laboratorio (50% de los sueldos de este sector).</t>
  </si>
  <si>
    <t>Costo de depreciación de equipos = ( Costo de capital fijo - Costo de terrenos y construcciones)/10 ; considerando una vida útil de 10 años.</t>
  </si>
  <si>
    <t xml:space="preserve">Costo de depreciación de construcciones = 5% de Desarrollo de terrenos y construcciones </t>
  </si>
  <si>
    <t>Impuestos varios = 1,5% del capital fijo</t>
  </si>
  <si>
    <t>Seguros = 1% del capital fijo</t>
  </si>
  <si>
    <t>Costo de propaganda: se estima un 3% del costo de fabrición a granel</t>
  </si>
  <si>
    <t>Costo de asesoramiento: se estima un 7% del costo de fabricacion a granel</t>
  </si>
  <si>
    <t>Costos de venta totales.</t>
  </si>
  <si>
    <t>Suma de los costos correspondientes a las referencias 67 a 72</t>
  </si>
  <si>
    <t>Suma de los costos correspondientes a las referencias 73 a 76</t>
  </si>
  <si>
    <t>No se almacena producto terminado.</t>
  </si>
  <si>
    <t>Suma de 79 a 83</t>
  </si>
  <si>
    <t>Ref 84</t>
  </si>
  <si>
    <t>Ref 91</t>
  </si>
  <si>
    <t>Ref 96+Ref97</t>
  </si>
  <si>
    <t>Ref 94</t>
  </si>
  <si>
    <t>Suma de las referencias 106, 107 y 108</t>
  </si>
  <si>
    <t xml:space="preserve"> </t>
  </si>
  <si>
    <t>Gerente de planta</t>
  </si>
  <si>
    <t>Jefe de producción</t>
  </si>
  <si>
    <t>Jefe técnico</t>
  </si>
  <si>
    <t>Supervisor de mantenimiento y obras</t>
  </si>
  <si>
    <t>Servicio médico</t>
  </si>
  <si>
    <t>El costo unitario del hidroxido de sodio fue brindado por Maiten S.R.L . La cantidad anual consumida se obtuvo de los balances de materia.</t>
  </si>
  <si>
    <t>Los costos anuales de Ingeniería de Procesos corresponden a los sueldos del jefe de producción, jefe técnico y a gastos de Ingeniería de Procesos (50% de los sueldos de este sector).</t>
  </si>
  <si>
    <t>Los costos indirectos de fabricación correponden a los sueldos del Gerente de Planta, Jede administrativo y comercial, personal administrativo, licenciado en recursos humanos y servicios tercerizados.</t>
  </si>
  <si>
    <t>d</t>
  </si>
  <si>
    <t>Producto terminado para 15 dias</t>
  </si>
  <si>
    <t>dato akzo nobel</t>
  </si>
  <si>
    <t>ACTIVOS INTANGIBLES</t>
  </si>
  <si>
    <t>Gastos de Organización</t>
  </si>
  <si>
    <t>Licencias y Patentes</t>
  </si>
  <si>
    <t>Gastos de Puesta en marcha</t>
  </si>
  <si>
    <t>Gastos de Capacitación</t>
  </si>
  <si>
    <t>Habilitaciones y similares</t>
  </si>
  <si>
    <t>Imprevistos</t>
  </si>
  <si>
    <t>Productos en proceso para 2 dias</t>
  </si>
  <si>
    <t>Metodo Contable</t>
  </si>
  <si>
    <t>Periodo a financiar</t>
  </si>
  <si>
    <t>Déficit acumulado máximo</t>
  </si>
  <si>
    <t>Balance de la Inversión Inicial</t>
  </si>
  <si>
    <t>Activos Fijos</t>
  </si>
  <si>
    <t>Activos Intangibles</t>
  </si>
  <si>
    <t>Capital de Trabajo</t>
  </si>
  <si>
    <t>Elementos</t>
  </si>
  <si>
    <t>TOTAL Activos Fijos o Cargos Diferidos</t>
  </si>
  <si>
    <t>Presupuesto de Inversión Inicial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</si>
</sst>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0.000"/>
    <numFmt numFmtId="166" formatCode="_ &quot;$&quot;\ * #,##0_ ;_ &quot;$&quot;\ * \-#,##0_ ;_ &quot;$&quot;\ * &quot;-&quot;??_ ;_ @_ "/>
    <numFmt numFmtId="168" formatCode="0.0"/>
    <numFmt numFmtId="172" formatCode="_-[$$-2C0A]\ * #,##0_-;\-[$$-2C0A]\ * #,##0_-;_-[$$-2C0A]\ * &quot;-&quot;??_-;_-@_-"/>
  </numFmts>
  <fonts count="15"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9C6500"/>
      <name val="Calibri"/>
      <family val="2"/>
      <scheme val="minor"/>
    </font>
    <font>
      <sz val="12"/>
      <color rgb="FF000000"/>
      <name val="Arial"/>
      <family val="2"/>
    </font>
    <font>
      <sz val="11"/>
      <color theme="1"/>
      <name val="Cambria"/>
      <family val="1"/>
      <scheme val="major"/>
    </font>
    <font>
      <sz val="11"/>
      <name val="Cambria"/>
      <family val="1"/>
      <scheme val="major"/>
    </font>
    <font>
      <b/>
      <sz val="11"/>
      <name val="Calibri"/>
      <family val="2"/>
      <scheme val="minor"/>
    </font>
    <font>
      <b/>
      <sz val="12"/>
      <color theme="1"/>
      <name val="Calibri"/>
      <family val="2"/>
      <scheme val="minor"/>
    </font>
    <font>
      <sz val="12"/>
      <color theme="1"/>
      <name val="Calibri"/>
      <family val="2"/>
      <scheme val="minor"/>
    </font>
    <font>
      <b/>
      <sz val="11"/>
      <name val="Cambria"/>
      <family val="1"/>
      <scheme val="major"/>
    </font>
    <font>
      <sz val="10"/>
      <name val="Calibri"/>
      <family val="2"/>
      <scheme val="minor"/>
    </font>
  </fonts>
  <fills count="19">
    <fill>
      <patternFill patternType="none"/>
    </fill>
    <fill>
      <patternFill patternType="gray125"/>
    </fill>
    <fill>
      <patternFill patternType="solid">
        <fgColor rgb="FFC6EFCE"/>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EB9C"/>
      </patternFill>
    </fill>
    <fill>
      <patternFill patternType="solid">
        <fgColor rgb="FF7030A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lightUp"/>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s>
  <borders count="6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medium">
        <color auto="1"/>
      </bottom>
      <diagonal/>
    </border>
    <border>
      <left style="thin">
        <color auto="1"/>
      </left>
      <right style="thin">
        <color auto="1"/>
      </right>
      <top/>
      <bottom/>
      <diagonal/>
    </border>
    <border>
      <left/>
      <right style="thin">
        <color auto="1"/>
      </right>
      <top style="medium">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thin">
        <color auto="1"/>
      </bottom>
      <diagonal/>
    </border>
    <border>
      <left/>
      <right style="thin">
        <color auto="1"/>
      </right>
      <top style="medium">
        <color auto="1"/>
      </top>
      <bottom/>
      <diagonal/>
    </border>
    <border>
      <left/>
      <right style="thin">
        <color auto="1"/>
      </right>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thin">
        <color auto="1"/>
      </bottom>
      <diagonal/>
    </border>
    <border>
      <left style="thin">
        <color auto="1"/>
      </left>
      <right style="medium">
        <color indexed="64"/>
      </right>
      <top/>
      <bottom style="medium">
        <color indexed="64"/>
      </bottom>
      <diagonal/>
    </border>
    <border>
      <left style="medium">
        <color auto="1"/>
      </left>
      <right style="thin">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ck">
        <color auto="1"/>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right style="thin">
        <color auto="1"/>
      </right>
      <top/>
      <bottom/>
      <diagonal/>
    </border>
    <border>
      <left style="thin">
        <color indexed="64"/>
      </left>
      <right style="thick">
        <color indexed="64"/>
      </right>
      <top style="medium">
        <color indexed="64"/>
      </top>
      <bottom style="medium">
        <color indexed="64"/>
      </bottom>
      <diagonal/>
    </border>
    <border>
      <left/>
      <right/>
      <top style="thin">
        <color auto="1"/>
      </top>
      <bottom/>
      <diagonal/>
    </border>
    <border>
      <left/>
      <right style="thin">
        <color auto="1"/>
      </right>
      <top style="thin">
        <color auto="1"/>
      </top>
      <bottom/>
      <diagonal/>
    </border>
    <border>
      <left/>
      <right style="medium">
        <color auto="1"/>
      </right>
      <top style="thin">
        <color auto="1"/>
      </top>
      <bottom style="thin">
        <color auto="1"/>
      </bottom>
      <diagonal/>
    </border>
    <border>
      <left/>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8">
    <xf numFmtId="0" fontId="0" fillId="0" borderId="0"/>
    <xf numFmtId="0" fontId="2" fillId="2" borderId="0" applyNumberFormat="0" applyBorder="0" applyAlignment="0" applyProtection="0"/>
    <xf numFmtId="0" fontId="4"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4" fillId="6" borderId="0" applyNumberFormat="0" applyBorder="0" applyAlignment="0" applyProtection="0"/>
    <xf numFmtId="164" fontId="1" fillId="0" borderId="0" applyFont="0" applyFill="0" applyBorder="0" applyAlignment="0" applyProtection="0"/>
    <xf numFmtId="0" fontId="6" fillId="8" borderId="0" applyNumberFormat="0" applyBorder="0" applyAlignment="0" applyProtection="0"/>
  </cellStyleXfs>
  <cellXfs count="413">
    <xf numFmtId="0" fontId="0" fillId="0" borderId="0" xfId="0"/>
    <xf numFmtId="0" fontId="0" fillId="0" borderId="2" xfId="0" applyBorder="1"/>
    <xf numFmtId="0" fontId="0" fillId="0" borderId="16" xfId="0" applyBorder="1"/>
    <xf numFmtId="0" fontId="0" fillId="0" borderId="17" xfId="0" applyBorder="1"/>
    <xf numFmtId="0" fontId="0" fillId="0" borderId="18" xfId="0" applyBorder="1"/>
    <xf numFmtId="0" fontId="0" fillId="0" borderId="20" xfId="0" applyBorder="1"/>
    <xf numFmtId="0" fontId="0" fillId="0" borderId="21" xfId="0" applyBorder="1"/>
    <xf numFmtId="0" fontId="0" fillId="0" borderId="22" xfId="0" applyBorder="1"/>
    <xf numFmtId="0" fontId="0" fillId="0" borderId="0" xfId="0" applyFill="1" applyAlignment="1"/>
    <xf numFmtId="0" fontId="0" fillId="0" borderId="27" xfId="0" applyBorder="1"/>
    <xf numFmtId="0" fontId="0" fillId="0" borderId="23" xfId="0" applyBorder="1"/>
    <xf numFmtId="0" fontId="0" fillId="0" borderId="30" xfId="0" applyBorder="1"/>
    <xf numFmtId="3" fontId="0" fillId="0" borderId="36" xfId="0" applyNumberFormat="1" applyBorder="1" applyAlignment="1">
      <alignment horizontal="center"/>
    </xf>
    <xf numFmtId="3" fontId="0" fillId="0" borderId="23" xfId="0" applyNumberFormat="1" applyBorder="1" applyAlignment="1">
      <alignment horizontal="center"/>
    </xf>
    <xf numFmtId="3" fontId="0" fillId="0" borderId="16" xfId="0" applyNumberFormat="1" applyBorder="1" applyAlignment="1">
      <alignment horizontal="center"/>
    </xf>
    <xf numFmtId="3" fontId="0" fillId="0" borderId="34" xfId="0" applyNumberFormat="1" applyBorder="1" applyAlignment="1">
      <alignment horizontal="center"/>
    </xf>
    <xf numFmtId="4" fontId="0" fillId="0" borderId="34" xfId="0" applyNumberFormat="1" applyBorder="1" applyAlignment="1">
      <alignment horizontal="center"/>
    </xf>
    <xf numFmtId="4" fontId="5" fillId="7" borderId="34" xfId="1" applyNumberFormat="1" applyFont="1" applyFill="1" applyBorder="1" applyAlignment="1">
      <alignment horizontal="center"/>
    </xf>
    <xf numFmtId="3" fontId="0" fillId="0" borderId="37" xfId="0" applyNumberFormat="1" applyBorder="1" applyAlignment="1">
      <alignment horizontal="center"/>
    </xf>
    <xf numFmtId="3" fontId="0" fillId="0" borderId="18" xfId="0" applyNumberFormat="1" applyBorder="1" applyAlignment="1">
      <alignment horizontal="center"/>
    </xf>
    <xf numFmtId="3" fontId="0" fillId="0" borderId="31" xfId="0" applyNumberFormat="1" applyBorder="1" applyAlignment="1">
      <alignment horizontal="center"/>
    </xf>
    <xf numFmtId="4" fontId="0" fillId="0" borderId="31" xfId="0" applyNumberFormat="1" applyBorder="1" applyAlignment="1">
      <alignment horizontal="center"/>
    </xf>
    <xf numFmtId="4" fontId="5" fillId="0" borderId="31" xfId="0" applyNumberFormat="1" applyFont="1" applyBorder="1" applyAlignment="1">
      <alignment horizontal="center"/>
    </xf>
    <xf numFmtId="4" fontId="5" fillId="7" borderId="31" xfId="1" applyNumberFormat="1" applyFont="1" applyFill="1" applyBorder="1" applyAlignment="1">
      <alignment horizontal="center"/>
    </xf>
    <xf numFmtId="3" fontId="0" fillId="0" borderId="19" xfId="0" applyNumberFormat="1" applyBorder="1" applyAlignment="1">
      <alignment horizontal="center"/>
    </xf>
    <xf numFmtId="3" fontId="0" fillId="0" borderId="14" xfId="0" applyNumberFormat="1" applyBorder="1" applyAlignment="1">
      <alignment horizontal="center"/>
    </xf>
    <xf numFmtId="3" fontId="0" fillId="0" borderId="32" xfId="0" applyNumberFormat="1" applyBorder="1" applyAlignment="1">
      <alignment horizontal="center"/>
    </xf>
    <xf numFmtId="3" fontId="0" fillId="0" borderId="2" xfId="0" applyNumberFormat="1" applyBorder="1" applyAlignment="1">
      <alignment horizontal="center"/>
    </xf>
    <xf numFmtId="3" fontId="5" fillId="0" borderId="17" xfId="0" applyNumberFormat="1" applyFont="1" applyBorder="1" applyAlignment="1">
      <alignment horizontal="center"/>
    </xf>
    <xf numFmtId="3" fontId="5" fillId="0" borderId="19" xfId="0" applyNumberFormat="1" applyFont="1" applyBorder="1" applyAlignment="1">
      <alignment horizontal="center"/>
    </xf>
    <xf numFmtId="3" fontId="0" fillId="0" borderId="27" xfId="0" applyNumberFormat="1" applyBorder="1" applyAlignment="1">
      <alignment horizontal="center"/>
    </xf>
    <xf numFmtId="3" fontId="5" fillId="0" borderId="30" xfId="0" applyNumberFormat="1" applyFont="1" applyBorder="1" applyAlignment="1">
      <alignment horizontal="center"/>
    </xf>
    <xf numFmtId="3" fontId="0" fillId="0" borderId="0" xfId="0" applyNumberFormat="1" applyAlignment="1">
      <alignment horizontal="center"/>
    </xf>
    <xf numFmtId="4" fontId="0" fillId="0" borderId="0" xfId="0" applyNumberFormat="1" applyAlignment="1">
      <alignment horizontal="center"/>
    </xf>
    <xf numFmtId="0" fontId="3" fillId="0" borderId="13" xfId="0" applyFont="1" applyFill="1" applyBorder="1"/>
    <xf numFmtId="0" fontId="3" fillId="0" borderId="0" xfId="0" applyFont="1"/>
    <xf numFmtId="0" fontId="5" fillId="11" borderId="13" xfId="0" applyFont="1" applyFill="1" applyBorder="1"/>
    <xf numFmtId="0" fontId="5" fillId="11" borderId="0" xfId="0" applyFont="1" applyFill="1" applyBorder="1"/>
    <xf numFmtId="0" fontId="5" fillId="11" borderId="12" xfId="0" applyFont="1" applyFill="1" applyBorder="1"/>
    <xf numFmtId="0" fontId="0" fillId="11" borderId="0" xfId="0" applyFill="1"/>
    <xf numFmtId="0" fontId="0" fillId="12" borderId="13" xfId="0" applyFill="1" applyBorder="1"/>
    <xf numFmtId="0" fontId="0" fillId="12" borderId="0" xfId="0" applyFill="1" applyBorder="1"/>
    <xf numFmtId="0" fontId="0" fillId="12" borderId="12" xfId="0" applyFill="1" applyBorder="1"/>
    <xf numFmtId="0" fontId="0" fillId="12" borderId="0" xfId="0" applyFill="1"/>
    <xf numFmtId="0" fontId="0" fillId="0" borderId="2" xfId="0" applyBorder="1" applyAlignment="1">
      <alignment horizontal="center"/>
    </xf>
    <xf numFmtId="0" fontId="0" fillId="13" borderId="13" xfId="0" applyFill="1" applyBorder="1"/>
    <xf numFmtId="0" fontId="0" fillId="13" borderId="0" xfId="0" applyFill="1" applyBorder="1"/>
    <xf numFmtId="0" fontId="0" fillId="13" borderId="12" xfId="0" applyFill="1" applyBorder="1"/>
    <xf numFmtId="0" fontId="0" fillId="13" borderId="0" xfId="0" applyFill="1"/>
    <xf numFmtId="0" fontId="0" fillId="9" borderId="13" xfId="0" applyFill="1" applyBorder="1"/>
    <xf numFmtId="0" fontId="0" fillId="9" borderId="0" xfId="0" applyFill="1" applyBorder="1"/>
    <xf numFmtId="0" fontId="0" fillId="9" borderId="12" xfId="0" applyFill="1" applyBorder="1"/>
    <xf numFmtId="0" fontId="0" fillId="9" borderId="0" xfId="0" applyFill="1"/>
    <xf numFmtId="0" fontId="0" fillId="10" borderId="13" xfId="0" applyFill="1" applyBorder="1"/>
    <xf numFmtId="0" fontId="0" fillId="10" borderId="0" xfId="0" applyFill="1" applyBorder="1"/>
    <xf numFmtId="0" fontId="0" fillId="10" borderId="12" xfId="0" applyFill="1" applyBorder="1"/>
    <xf numFmtId="0" fontId="0" fillId="10" borderId="38" xfId="0" applyFill="1" applyBorder="1"/>
    <xf numFmtId="0" fontId="0" fillId="10" borderId="39" xfId="0" applyFill="1" applyBorder="1"/>
    <xf numFmtId="0" fontId="0" fillId="10" borderId="9" xfId="0" applyFill="1" applyBorder="1"/>
    <xf numFmtId="0" fontId="0" fillId="10" borderId="0" xfId="0" applyFill="1"/>
    <xf numFmtId="3" fontId="5" fillId="0" borderId="23" xfId="0" applyNumberFormat="1" applyFont="1" applyBorder="1" applyAlignment="1">
      <alignment horizontal="center"/>
    </xf>
    <xf numFmtId="3" fontId="5" fillId="0" borderId="2" xfId="0" applyNumberFormat="1" applyFont="1" applyBorder="1" applyAlignment="1">
      <alignment horizontal="center"/>
    </xf>
    <xf numFmtId="3" fontId="5" fillId="0" borderId="2" xfId="0" applyNumberFormat="1" applyFont="1" applyBorder="1" applyAlignment="1">
      <alignment horizontal="center" vertical="center"/>
    </xf>
    <xf numFmtId="3" fontId="0" fillId="0" borderId="2" xfId="0" applyNumberFormat="1" applyFill="1" applyBorder="1" applyAlignment="1">
      <alignment horizontal="center"/>
    </xf>
    <xf numFmtId="4" fontId="0" fillId="14" borderId="32" xfId="0" applyNumberFormat="1" applyFill="1" applyBorder="1" applyAlignment="1">
      <alignment horizontal="center"/>
    </xf>
    <xf numFmtId="4" fontId="0" fillId="14" borderId="2" xfId="0" applyNumberFormat="1" applyFill="1" applyBorder="1" applyAlignment="1">
      <alignment horizontal="center"/>
    </xf>
    <xf numFmtId="4" fontId="0" fillId="14" borderId="31" xfId="0" applyNumberFormat="1" applyFill="1" applyBorder="1" applyAlignment="1">
      <alignment horizontal="center"/>
    </xf>
    <xf numFmtId="0" fontId="7" fillId="0" borderId="0" xfId="0" applyFont="1" applyAlignment="1">
      <alignment vertical="center" wrapText="1"/>
    </xf>
    <xf numFmtId="165" fontId="5" fillId="0" borderId="17" xfId="0" applyNumberFormat="1" applyFont="1" applyFill="1" applyBorder="1" applyAlignment="1">
      <alignment horizontal="center"/>
    </xf>
    <xf numFmtId="0" fontId="0" fillId="0" borderId="0" xfId="0" applyFill="1"/>
    <xf numFmtId="0" fontId="5" fillId="0" borderId="2" xfId="0" applyFont="1" applyBorder="1"/>
    <xf numFmtId="0" fontId="0" fillId="11" borderId="0" xfId="0" applyFill="1" applyBorder="1"/>
    <xf numFmtId="0" fontId="0" fillId="0" borderId="2" xfId="0" applyFont="1" applyBorder="1"/>
    <xf numFmtId="0" fontId="0" fillId="0" borderId="14" xfId="0" applyFont="1" applyBorder="1"/>
    <xf numFmtId="0" fontId="0" fillId="0" borderId="32" xfId="0" applyFont="1" applyBorder="1"/>
    <xf numFmtId="0" fontId="12" fillId="0" borderId="15" xfId="0" applyFont="1" applyBorder="1" applyAlignment="1">
      <alignment horizontal="right" vertical="center"/>
    </xf>
    <xf numFmtId="0" fontId="0" fillId="0" borderId="16" xfId="0" applyFont="1" applyBorder="1"/>
    <xf numFmtId="0" fontId="0" fillId="0" borderId="17" xfId="0" applyFont="1" applyBorder="1"/>
    <xf numFmtId="0" fontId="0" fillId="0" borderId="2" xfId="0" applyFont="1" applyFill="1" applyBorder="1"/>
    <xf numFmtId="0" fontId="0" fillId="0" borderId="52" xfId="0" applyFont="1" applyBorder="1"/>
    <xf numFmtId="0" fontId="0" fillId="0" borderId="22" xfId="0" applyFont="1" applyBorder="1"/>
    <xf numFmtId="0" fontId="0" fillId="0" borderId="0" xfId="0" applyFont="1"/>
    <xf numFmtId="166" fontId="0" fillId="0" borderId="0" xfId="0" applyNumberFormat="1" applyFont="1"/>
    <xf numFmtId="0" fontId="0" fillId="0" borderId="2" xfId="0" applyNumberFormat="1" applyFont="1" applyBorder="1"/>
    <xf numFmtId="166" fontId="0" fillId="0" borderId="2" xfId="0" applyNumberFormat="1" applyFont="1" applyBorder="1"/>
    <xf numFmtId="0" fontId="0" fillId="0" borderId="16" xfId="0" applyNumberFormat="1" applyFont="1" applyBorder="1"/>
    <xf numFmtId="2" fontId="0" fillId="0" borderId="17" xfId="6" applyNumberFormat="1" applyFont="1" applyBorder="1" applyAlignment="1">
      <alignment horizontal="right" vertical="center"/>
    </xf>
    <xf numFmtId="0" fontId="0" fillId="0" borderId="18" xfId="0" applyNumberFormat="1" applyFont="1" applyBorder="1"/>
    <xf numFmtId="0" fontId="0" fillId="0" borderId="31" xfId="0" applyNumberFormat="1" applyFont="1" applyBorder="1"/>
    <xf numFmtId="0" fontId="0" fillId="0" borderId="27" xfId="0" applyNumberFormat="1" applyFont="1" applyBorder="1"/>
    <xf numFmtId="0" fontId="0" fillId="0" borderId="23" xfId="0" applyNumberFormat="1" applyFont="1" applyBorder="1"/>
    <xf numFmtId="166" fontId="0" fillId="0" borderId="23" xfId="0" applyNumberFormat="1" applyFont="1" applyBorder="1"/>
    <xf numFmtId="2" fontId="0" fillId="0" borderId="30" xfId="6" applyNumberFormat="1" applyFont="1" applyBorder="1" applyAlignment="1">
      <alignment horizontal="right" vertical="center"/>
    </xf>
    <xf numFmtId="0" fontId="0" fillId="0" borderId="14" xfId="0" applyNumberFormat="1" applyFont="1" applyBorder="1"/>
    <xf numFmtId="0" fontId="0" fillId="0" borderId="32" xfId="0" applyNumberFormat="1" applyFont="1" applyBorder="1"/>
    <xf numFmtId="166" fontId="0" fillId="0" borderId="32" xfId="0" applyNumberFormat="1" applyFont="1" applyBorder="1"/>
    <xf numFmtId="0" fontId="0" fillId="0" borderId="32" xfId="0" applyNumberFormat="1" applyFont="1" applyBorder="1" applyAlignment="1">
      <alignment horizontal="right" vertical="center"/>
    </xf>
    <xf numFmtId="166" fontId="0" fillId="0" borderId="15" xfId="0" applyNumberFormat="1" applyFont="1" applyBorder="1" applyAlignment="1">
      <alignment horizontal="right" vertical="center"/>
    </xf>
    <xf numFmtId="0" fontId="0" fillId="0" borderId="0" xfId="0"/>
    <xf numFmtId="0" fontId="0" fillId="0" borderId="0" xfId="0" applyAlignment="1">
      <alignment horizontal="center" vertical="center"/>
    </xf>
    <xf numFmtId="0" fontId="11" fillId="0" borderId="4" xfId="0" applyFont="1" applyBorder="1"/>
    <xf numFmtId="0" fontId="11" fillId="0" borderId="5" xfId="0" applyFont="1" applyBorder="1"/>
    <xf numFmtId="0" fontId="11" fillId="0" borderId="3" xfId="0" applyFont="1" applyBorder="1"/>
    <xf numFmtId="0" fontId="3" fillId="0" borderId="4" xfId="0" applyFont="1" applyFill="1" applyBorder="1"/>
    <xf numFmtId="0" fontId="3" fillId="0" borderId="5" xfId="0" applyFont="1" applyFill="1" applyBorder="1"/>
    <xf numFmtId="0" fontId="3" fillId="0" borderId="3" xfId="0" applyFont="1" applyFill="1" applyBorder="1"/>
    <xf numFmtId="0" fontId="0" fillId="0" borderId="22" xfId="0" applyFill="1" applyBorder="1"/>
    <xf numFmtId="0" fontId="5" fillId="0" borderId="22" xfId="0" applyFont="1" applyFill="1" applyBorder="1"/>
    <xf numFmtId="4" fontId="5" fillId="0" borderId="23" xfId="0" applyNumberFormat="1" applyFont="1" applyFill="1" applyBorder="1" applyAlignment="1">
      <alignment horizontal="center"/>
    </xf>
    <xf numFmtId="3" fontId="5" fillId="0" borderId="30" xfId="0" applyNumberFormat="1" applyFont="1" applyFill="1" applyBorder="1" applyAlignment="1">
      <alignment horizontal="center"/>
    </xf>
    <xf numFmtId="2" fontId="0" fillId="0" borderId="17" xfId="0" applyNumberFormat="1" applyBorder="1"/>
    <xf numFmtId="2" fontId="0" fillId="0" borderId="17" xfId="0" applyNumberFormat="1" applyFill="1" applyBorder="1"/>
    <xf numFmtId="2" fontId="0" fillId="0" borderId="61" xfId="0" applyNumberFormat="1" applyBorder="1" applyAlignment="1"/>
    <xf numFmtId="0" fontId="0" fillId="0" borderId="61" xfId="0" applyBorder="1"/>
    <xf numFmtId="2" fontId="0" fillId="0" borderId="19" xfId="0" applyNumberFormat="1" applyBorder="1"/>
    <xf numFmtId="0" fontId="0" fillId="16" borderId="2" xfId="0" applyFill="1" applyBorder="1"/>
    <xf numFmtId="0" fontId="0" fillId="16" borderId="17" xfId="0" applyFill="1" applyBorder="1"/>
    <xf numFmtId="0" fontId="0" fillId="16" borderId="31" xfId="0" applyFill="1" applyBorder="1"/>
    <xf numFmtId="0" fontId="0" fillId="16" borderId="19" xfId="0" applyFill="1" applyBorder="1"/>
    <xf numFmtId="0" fontId="0" fillId="16" borderId="11" xfId="0" applyFill="1" applyBorder="1" applyAlignment="1">
      <alignment horizontal="center"/>
    </xf>
    <xf numFmtId="0" fontId="0" fillId="16" borderId="11" xfId="0" applyFill="1" applyBorder="1"/>
    <xf numFmtId="0" fontId="0" fillId="16" borderId="12" xfId="0" applyFill="1" applyBorder="1"/>
    <xf numFmtId="0" fontId="0" fillId="16" borderId="10" xfId="0" applyFill="1" applyBorder="1" applyAlignment="1">
      <alignment horizontal="center"/>
    </xf>
    <xf numFmtId="0" fontId="0" fillId="16" borderId="10" xfId="0" applyFill="1" applyBorder="1"/>
    <xf numFmtId="0" fontId="0" fillId="16" borderId="9" xfId="0" applyFill="1" applyBorder="1"/>
    <xf numFmtId="0" fontId="0" fillId="0" borderId="14" xfId="0" applyFill="1" applyBorder="1"/>
    <xf numFmtId="0" fontId="0" fillId="0" borderId="15" xfId="0" applyFill="1" applyBorder="1"/>
    <xf numFmtId="0" fontId="3" fillId="18" borderId="4" xfId="0" applyFont="1" applyFill="1" applyBorder="1"/>
    <xf numFmtId="0" fontId="3" fillId="18" borderId="5" xfId="0" applyFont="1" applyFill="1" applyBorder="1"/>
    <xf numFmtId="0" fontId="3" fillId="18" borderId="3" xfId="0" applyFont="1" applyFill="1" applyBorder="1"/>
    <xf numFmtId="4" fontId="5" fillId="16" borderId="15" xfId="5" applyNumberFormat="1" applyFont="1" applyFill="1" applyBorder="1" applyAlignment="1">
      <alignment horizontal="center" vertical="center"/>
    </xf>
    <xf numFmtId="4" fontId="5" fillId="16" borderId="31" xfId="5" applyNumberFormat="1" applyFont="1" applyFill="1" applyBorder="1" applyAlignment="1">
      <alignment horizontal="center" vertical="center"/>
    </xf>
    <xf numFmtId="4" fontId="5" fillId="16" borderId="19" xfId="5" applyNumberFormat="1" applyFont="1" applyFill="1" applyBorder="1" applyAlignment="1">
      <alignment horizontal="center" vertical="center"/>
    </xf>
    <xf numFmtId="3" fontId="4" fillId="16" borderId="25" xfId="5" applyNumberFormat="1" applyFill="1" applyBorder="1" applyAlignment="1">
      <alignment horizontal="center" vertical="center"/>
    </xf>
    <xf numFmtId="3" fontId="4" fillId="16" borderId="24" xfId="5" applyNumberFormat="1" applyFill="1" applyBorder="1" applyAlignment="1">
      <alignment horizontal="center"/>
    </xf>
    <xf numFmtId="3" fontId="4" fillId="16" borderId="25" xfId="5" applyNumberFormat="1" applyFill="1" applyBorder="1" applyAlignment="1">
      <alignment horizontal="center"/>
    </xf>
    <xf numFmtId="3" fontId="5" fillId="15" borderId="24" xfId="2" applyNumberFormat="1" applyFont="1" applyFill="1" applyBorder="1" applyAlignment="1">
      <alignment horizontal="center"/>
    </xf>
    <xf numFmtId="3" fontId="5" fillId="15" borderId="25" xfId="2" applyNumberFormat="1" applyFont="1" applyFill="1" applyBorder="1" applyAlignment="1">
      <alignment horizontal="center"/>
    </xf>
    <xf numFmtId="3" fontId="5" fillId="15" borderId="26" xfId="2" applyNumberFormat="1" applyFont="1" applyFill="1" applyBorder="1" applyAlignment="1">
      <alignment horizontal="center"/>
    </xf>
    <xf numFmtId="3" fontId="5" fillId="16" borderId="24" xfId="5" applyNumberFormat="1" applyFont="1" applyFill="1" applyBorder="1" applyAlignment="1">
      <alignment horizontal="center" vertical="center"/>
    </xf>
    <xf numFmtId="3" fontId="1" fillId="17" borderId="24" xfId="4" applyNumberFormat="1" applyFill="1" applyBorder="1" applyAlignment="1">
      <alignment horizontal="center"/>
    </xf>
    <xf numFmtId="3" fontId="1" fillId="17" borderId="25" xfId="4" applyNumberFormat="1" applyFill="1" applyBorder="1" applyAlignment="1">
      <alignment horizontal="center"/>
    </xf>
    <xf numFmtId="3" fontId="1" fillId="17" borderId="24" xfId="3" applyNumberFormat="1" applyFill="1" applyBorder="1" applyAlignment="1">
      <alignment horizontal="center"/>
    </xf>
    <xf numFmtId="3" fontId="1" fillId="17" borderId="25" xfId="3" applyNumberFormat="1" applyFill="1" applyBorder="1" applyAlignment="1">
      <alignment horizontal="center"/>
    </xf>
    <xf numFmtId="3" fontId="1" fillId="17" borderId="26" xfId="3" applyNumberFormat="1" applyFill="1" applyBorder="1" applyAlignment="1">
      <alignment horizontal="center"/>
    </xf>
    <xf numFmtId="0" fontId="3" fillId="16" borderId="25" xfId="0" applyFont="1" applyFill="1" applyBorder="1" applyAlignment="1">
      <alignment horizontal="center" vertical="center" wrapText="1"/>
    </xf>
    <xf numFmtId="0" fontId="11" fillId="16" borderId="26" xfId="0" applyFont="1" applyFill="1" applyBorder="1" applyAlignment="1">
      <alignment horizontal="center" vertical="center" wrapText="1"/>
    </xf>
    <xf numFmtId="0" fontId="0" fillId="15" borderId="18" xfId="0" applyFont="1" applyFill="1" applyBorder="1"/>
    <xf numFmtId="0" fontId="0" fillId="15" borderId="31" xfId="0" applyFont="1" applyFill="1" applyBorder="1"/>
    <xf numFmtId="0" fontId="10" fillId="15" borderId="31" xfId="0" applyFont="1" applyFill="1" applyBorder="1" applyAlignment="1">
      <alignment horizontal="right"/>
    </xf>
    <xf numFmtId="0" fontId="0" fillId="15" borderId="19" xfId="0" applyFont="1" applyFill="1" applyBorder="1"/>
    <xf numFmtId="0" fontId="0" fillId="15" borderId="24" xfId="0" applyFont="1" applyFill="1" applyBorder="1"/>
    <xf numFmtId="0" fontId="0" fillId="15" borderId="25" xfId="0" applyFont="1" applyFill="1" applyBorder="1"/>
    <xf numFmtId="0" fontId="10" fillId="15" borderId="25" xfId="0" applyFont="1" applyFill="1" applyBorder="1" applyAlignment="1">
      <alignment horizontal="right"/>
    </xf>
    <xf numFmtId="0" fontId="3" fillId="16" borderId="35" xfId="0" applyFont="1" applyFill="1" applyBorder="1" applyAlignment="1">
      <alignment horizontal="center" vertical="center" wrapText="1"/>
    </xf>
    <xf numFmtId="0" fontId="3" fillId="16" borderId="26" xfId="0" applyFont="1" applyFill="1" applyBorder="1" applyAlignment="1">
      <alignment horizontal="center" vertical="center" wrapText="1"/>
    </xf>
    <xf numFmtId="166" fontId="10" fillId="16" borderId="2" xfId="0" applyNumberFormat="1" applyFont="1" applyFill="1" applyBorder="1" applyAlignment="1">
      <alignment horizontal="right"/>
    </xf>
    <xf numFmtId="2" fontId="0" fillId="16" borderId="17" xfId="6" applyNumberFormat="1" applyFont="1" applyFill="1" applyBorder="1"/>
    <xf numFmtId="166" fontId="10" fillId="16" borderId="31" xfId="0" applyNumberFormat="1" applyFont="1" applyFill="1" applyBorder="1" applyAlignment="1">
      <alignment horizontal="right"/>
    </xf>
    <xf numFmtId="2" fontId="3" fillId="16" borderId="19" xfId="6" applyNumberFormat="1" applyFont="1" applyFill="1" applyBorder="1"/>
    <xf numFmtId="166" fontId="3" fillId="16" borderId="25" xfId="0" applyNumberFormat="1" applyFont="1" applyFill="1" applyBorder="1" applyAlignment="1">
      <alignment horizontal="center" vertical="center" wrapText="1"/>
    </xf>
    <xf numFmtId="166" fontId="3" fillId="16" borderId="26" xfId="0" applyNumberFormat="1" applyFont="1" applyFill="1" applyBorder="1" applyAlignment="1">
      <alignment horizontal="right" vertical="center"/>
    </xf>
    <xf numFmtId="166" fontId="10" fillId="16" borderId="31" xfId="0" applyNumberFormat="1" applyFont="1" applyFill="1" applyBorder="1" applyAlignment="1">
      <alignment horizontal="right" vertical="center"/>
    </xf>
    <xf numFmtId="0" fontId="3" fillId="16" borderId="31" xfId="6" applyNumberFormat="1" applyFont="1" applyFill="1" applyBorder="1" applyAlignment="1">
      <alignment horizontal="center" vertical="center"/>
    </xf>
    <xf numFmtId="166" fontId="0" fillId="16" borderId="19" xfId="0" applyNumberFormat="1" applyFont="1" applyFill="1" applyBorder="1" applyAlignment="1">
      <alignment horizontal="center" vertical="center" wrapText="1"/>
    </xf>
    <xf numFmtId="0" fontId="0" fillId="0" borderId="16" xfId="0" applyNumberFormat="1" applyFont="1" applyFill="1" applyBorder="1"/>
    <xf numFmtId="0" fontId="0" fillId="0" borderId="2" xfId="0" applyNumberFormat="1" applyFont="1" applyFill="1" applyBorder="1"/>
    <xf numFmtId="166" fontId="0" fillId="0" borderId="2" xfId="0" applyNumberFormat="1" applyFont="1" applyFill="1" applyBorder="1"/>
    <xf numFmtId="0" fontId="0" fillId="0" borderId="2" xfId="6" applyNumberFormat="1" applyFont="1" applyFill="1" applyBorder="1" applyAlignment="1">
      <alignment horizontal="right" vertical="center"/>
    </xf>
    <xf numFmtId="166" fontId="0" fillId="0" borderId="17" xfId="0" applyNumberFormat="1" applyFont="1" applyFill="1" applyBorder="1" applyAlignment="1">
      <alignment horizontal="right" vertical="center"/>
    </xf>
    <xf numFmtId="3" fontId="5" fillId="16" borderId="24" xfId="5" applyNumberFormat="1" applyFont="1" applyFill="1" applyBorder="1" applyAlignment="1">
      <alignment horizontal="center"/>
    </xf>
    <xf numFmtId="3" fontId="5" fillId="16" borderId="25" xfId="5" applyNumberFormat="1" applyFont="1" applyFill="1" applyBorder="1" applyAlignment="1">
      <alignment horizontal="center"/>
    </xf>
    <xf numFmtId="4" fontId="5" fillId="16" borderId="25" xfId="5" applyNumberFormat="1" applyFont="1" applyFill="1" applyBorder="1" applyAlignment="1">
      <alignment horizontal="center"/>
    </xf>
    <xf numFmtId="4" fontId="5" fillId="16" borderId="25" xfId="5" applyNumberFormat="1" applyFont="1" applyFill="1" applyBorder="1" applyAlignment="1">
      <alignment horizontal="center" vertical="center"/>
    </xf>
    <xf numFmtId="4" fontId="5" fillId="16" borderId="26" xfId="5" applyNumberFormat="1" applyFont="1" applyFill="1" applyBorder="1" applyAlignment="1">
      <alignment horizontal="center"/>
    </xf>
    <xf numFmtId="3" fontId="0" fillId="16" borderId="2" xfId="0" applyNumberFormat="1" applyFill="1" applyBorder="1" applyAlignment="1">
      <alignment vertical="center"/>
    </xf>
    <xf numFmtId="4" fontId="0" fillId="16" borderId="2" xfId="0" applyNumberFormat="1" applyFill="1" applyBorder="1" applyAlignment="1">
      <alignment vertical="center"/>
    </xf>
    <xf numFmtId="3" fontId="0" fillId="16" borderId="19" xfId="0" applyNumberFormat="1" applyFill="1" applyBorder="1" applyAlignment="1">
      <alignment horizontal="center" vertical="center"/>
    </xf>
    <xf numFmtId="3" fontId="0" fillId="16" borderId="0" xfId="0" applyNumberFormat="1" applyFill="1" applyBorder="1" applyAlignment="1">
      <alignment horizontal="center"/>
    </xf>
    <xf numFmtId="3" fontId="1" fillId="16" borderId="24" xfId="3" applyNumberFormat="1" applyFill="1" applyBorder="1" applyAlignment="1">
      <alignment horizontal="center"/>
    </xf>
    <xf numFmtId="3" fontId="1" fillId="16" borderId="25" xfId="3" applyNumberFormat="1" applyFill="1" applyBorder="1" applyAlignment="1">
      <alignment horizontal="center"/>
    </xf>
    <xf numFmtId="3" fontId="10" fillId="15" borderId="24" xfId="2" applyNumberFormat="1" applyFont="1" applyFill="1" applyBorder="1" applyAlignment="1">
      <alignment horizontal="center"/>
    </xf>
    <xf numFmtId="3" fontId="10" fillId="15" borderId="25" xfId="2" applyNumberFormat="1" applyFont="1" applyFill="1" applyBorder="1" applyAlignment="1">
      <alignment horizontal="center"/>
    </xf>
    <xf numFmtId="3" fontId="10" fillId="15" borderId="26" xfId="2" applyNumberFormat="1" applyFont="1" applyFill="1" applyBorder="1" applyAlignment="1">
      <alignment horizontal="center"/>
    </xf>
    <xf numFmtId="4" fontId="5" fillId="0" borderId="0" xfId="0" applyNumberFormat="1" applyFont="1" applyAlignment="1">
      <alignment horizontal="center"/>
    </xf>
    <xf numFmtId="3" fontId="5" fillId="0" borderId="27" xfId="0" applyNumberFormat="1" applyFont="1" applyBorder="1" applyAlignment="1">
      <alignment horizontal="center"/>
    </xf>
    <xf numFmtId="3" fontId="5" fillId="0" borderId="16" xfId="0" applyNumberFormat="1" applyFont="1" applyBorder="1" applyAlignment="1">
      <alignment horizontal="center"/>
    </xf>
    <xf numFmtId="3" fontId="5" fillId="0" borderId="18" xfId="0" applyNumberFormat="1" applyFont="1" applyBorder="1" applyAlignment="1">
      <alignment horizontal="center"/>
    </xf>
    <xf numFmtId="3" fontId="5" fillId="0" borderId="27" xfId="0" applyNumberFormat="1" applyFont="1" applyFill="1" applyBorder="1" applyAlignment="1">
      <alignment horizontal="center"/>
    </xf>
    <xf numFmtId="3" fontId="5" fillId="0" borderId="23" xfId="0" applyNumberFormat="1" applyFont="1" applyFill="1" applyBorder="1" applyAlignment="1">
      <alignment horizontal="center"/>
    </xf>
    <xf numFmtId="4" fontId="5" fillId="0" borderId="0" xfId="0" applyNumberFormat="1" applyFont="1" applyFill="1" applyAlignment="1">
      <alignment horizontal="center"/>
    </xf>
    <xf numFmtId="3" fontId="5" fillId="0" borderId="31" xfId="0" applyNumberFormat="1" applyFont="1" applyBorder="1" applyAlignment="1">
      <alignment horizontal="center"/>
    </xf>
    <xf numFmtId="3" fontId="5" fillId="0" borderId="0" xfId="0" applyNumberFormat="1" applyFont="1" applyAlignment="1">
      <alignment horizontal="center"/>
    </xf>
    <xf numFmtId="0" fontId="5" fillId="0" borderId="0" xfId="0" applyFont="1"/>
    <xf numFmtId="4" fontId="10" fillId="15" borderId="25" xfId="2" applyNumberFormat="1" applyFont="1" applyFill="1" applyBorder="1" applyAlignment="1">
      <alignment horizontal="center"/>
    </xf>
    <xf numFmtId="3" fontId="10" fillId="15" borderId="24" xfId="3" applyNumberFormat="1" applyFont="1" applyFill="1" applyBorder="1" applyAlignment="1">
      <alignment horizontal="center"/>
    </xf>
    <xf numFmtId="3" fontId="10" fillId="15" borderId="25" xfId="3" applyNumberFormat="1" applyFont="1" applyFill="1" applyBorder="1" applyAlignment="1">
      <alignment horizontal="center"/>
    </xf>
    <xf numFmtId="4" fontId="10" fillId="15" borderId="25" xfId="3" applyNumberFormat="1" applyFont="1" applyFill="1" applyBorder="1" applyAlignment="1">
      <alignment horizontal="center"/>
    </xf>
    <xf numFmtId="3" fontId="10" fillId="15" borderId="26" xfId="3" applyNumberFormat="1" applyFont="1" applyFill="1" applyBorder="1" applyAlignment="1">
      <alignment horizontal="center"/>
    </xf>
    <xf numFmtId="0" fontId="0" fillId="0" borderId="0" xfId="0" applyBorder="1"/>
    <xf numFmtId="0" fontId="0" fillId="0" borderId="27" xfId="0" applyFill="1" applyBorder="1"/>
    <xf numFmtId="0" fontId="0" fillId="0" borderId="2" xfId="0" applyFill="1" applyBorder="1"/>
    <xf numFmtId="2" fontId="0" fillId="0" borderId="2" xfId="0" applyNumberFormat="1" applyBorder="1"/>
    <xf numFmtId="168" fontId="0" fillId="0" borderId="2" xfId="0" applyNumberFormat="1" applyBorder="1"/>
    <xf numFmtId="2" fontId="0" fillId="0" borderId="22" xfId="0" applyNumberFormat="1" applyFill="1" applyBorder="1"/>
    <xf numFmtId="2" fontId="0" fillId="0" borderId="0" xfId="0" applyNumberFormat="1"/>
    <xf numFmtId="168" fontId="0" fillId="0" borderId="22" xfId="0" applyNumberFormat="1" applyFill="1" applyBorder="1"/>
    <xf numFmtId="0" fontId="0" fillId="10" borderId="13" xfId="0" applyFill="1" applyBorder="1" applyAlignment="1">
      <alignment wrapText="1"/>
    </xf>
    <xf numFmtId="0" fontId="0" fillId="10" borderId="0" xfId="0" applyFill="1" applyBorder="1" applyAlignment="1">
      <alignment vertical="center"/>
    </xf>
    <xf numFmtId="0" fontId="0" fillId="10" borderId="12" xfId="0" applyFill="1" applyBorder="1" applyAlignment="1">
      <alignment vertical="center"/>
    </xf>
    <xf numFmtId="1" fontId="0" fillId="0" borderId="15" xfId="6" applyNumberFormat="1" applyFont="1" applyBorder="1" applyAlignment="1">
      <alignment horizontal="right" vertical="center"/>
    </xf>
    <xf numFmtId="1" fontId="5" fillId="0" borderId="17" xfId="6" applyNumberFormat="1" applyFont="1" applyFill="1" applyBorder="1" applyAlignment="1">
      <alignment horizontal="right" vertical="center"/>
    </xf>
    <xf numFmtId="1" fontId="0" fillId="15" borderId="26" xfId="6" applyNumberFormat="1" applyFont="1" applyFill="1" applyBorder="1"/>
    <xf numFmtId="1" fontId="0" fillId="0" borderId="17" xfId="6" applyNumberFormat="1" applyFont="1" applyBorder="1" applyAlignment="1">
      <alignment horizontal="right" vertical="center"/>
    </xf>
    <xf numFmtId="168" fontId="0" fillId="0" borderId="53" xfId="6" applyNumberFormat="1" applyFont="1" applyBorder="1" applyAlignment="1">
      <alignment horizontal="right" vertical="center"/>
    </xf>
    <xf numFmtId="3" fontId="5" fillId="0" borderId="16" xfId="0" applyNumberFormat="1" applyFont="1" applyFill="1" applyBorder="1" applyAlignment="1">
      <alignment horizontal="center"/>
    </xf>
    <xf numFmtId="3" fontId="5" fillId="0" borderId="2" xfId="0" applyNumberFormat="1" applyFont="1" applyFill="1" applyBorder="1" applyAlignment="1">
      <alignment horizontal="center"/>
    </xf>
    <xf numFmtId="3" fontId="5" fillId="0" borderId="18" xfId="0" applyNumberFormat="1" applyFont="1" applyFill="1" applyBorder="1" applyAlignment="1">
      <alignment horizontal="center"/>
    </xf>
    <xf numFmtId="3" fontId="0" fillId="0" borderId="23" xfId="0" applyNumberFormat="1" applyFill="1" applyBorder="1" applyAlignment="1">
      <alignment horizontal="center"/>
    </xf>
    <xf numFmtId="4" fontId="5" fillId="0" borderId="23" xfId="1" applyNumberFormat="1" applyFont="1" applyFill="1" applyBorder="1" applyAlignment="1">
      <alignment horizontal="center"/>
    </xf>
    <xf numFmtId="3" fontId="5" fillId="0" borderId="23" xfId="1" applyNumberFormat="1" applyFont="1" applyFill="1" applyBorder="1" applyAlignment="1">
      <alignment horizontal="center"/>
    </xf>
    <xf numFmtId="0" fontId="0" fillId="0" borderId="2" xfId="0" applyFill="1" applyBorder="1" applyAlignment="1">
      <alignment horizontal="left"/>
    </xf>
    <xf numFmtId="2" fontId="0" fillId="0" borderId="2" xfId="0" applyNumberFormat="1" applyFill="1" applyBorder="1" applyAlignment="1">
      <alignment horizontal="right"/>
    </xf>
    <xf numFmtId="168" fontId="0" fillId="0" borderId="2" xfId="0" applyNumberFormat="1" applyFill="1" applyBorder="1" applyAlignment="1">
      <alignment horizontal="right"/>
    </xf>
    <xf numFmtId="0" fontId="0" fillId="0" borderId="2" xfId="0" applyFill="1" applyBorder="1" applyAlignment="1">
      <alignment horizontal="right"/>
    </xf>
    <xf numFmtId="0" fontId="0" fillId="7" borderId="0" xfId="0" applyFill="1"/>
    <xf numFmtId="3"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ont="1" applyFill="1"/>
    <xf numFmtId="0" fontId="0" fillId="0" borderId="48" xfId="0" applyBorder="1"/>
    <xf numFmtId="0" fontId="0" fillId="16" borderId="11" xfId="0" applyFill="1" applyBorder="1" applyAlignment="1">
      <alignment horizontal="center" vertical="center"/>
    </xf>
    <xf numFmtId="0" fontId="0" fillId="16" borderId="10" xfId="0" applyFill="1"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17" borderId="23" xfId="0" applyFill="1" applyBorder="1" applyAlignment="1">
      <alignment horizontal="center"/>
    </xf>
    <xf numFmtId="0" fontId="0" fillId="17" borderId="17" xfId="0" applyFill="1" applyBorder="1" applyAlignment="1">
      <alignment horizontal="center"/>
    </xf>
    <xf numFmtId="0" fontId="0" fillId="15" borderId="4" xfId="0" applyFill="1" applyBorder="1" applyAlignment="1">
      <alignment horizontal="center"/>
    </xf>
    <xf numFmtId="0" fontId="0" fillId="15" borderId="5" xfId="0" applyFill="1" applyBorder="1" applyAlignment="1">
      <alignment horizontal="center"/>
    </xf>
    <xf numFmtId="0" fontId="0" fillId="15" borderId="3" xfId="0" applyFill="1" applyBorder="1" applyAlignment="1">
      <alignment horizontal="center"/>
    </xf>
    <xf numFmtId="0" fontId="0" fillId="16" borderId="6" xfId="0" applyFill="1" applyBorder="1" applyAlignment="1">
      <alignment horizontal="center" vertical="center"/>
    </xf>
    <xf numFmtId="0" fontId="0" fillId="16" borderId="8" xfId="0" applyFill="1" applyBorder="1" applyAlignment="1">
      <alignment horizontal="center" vertical="center"/>
    </xf>
    <xf numFmtId="0" fontId="0" fillId="16" borderId="13" xfId="0" applyFill="1" applyBorder="1" applyAlignment="1">
      <alignment horizontal="center" vertical="center"/>
    </xf>
    <xf numFmtId="0" fontId="0" fillId="16" borderId="12" xfId="0" applyFill="1" applyBorder="1" applyAlignment="1">
      <alignment horizontal="center" vertical="center"/>
    </xf>
    <xf numFmtId="0" fontId="0" fillId="17" borderId="63" xfId="0" applyFill="1" applyBorder="1" applyAlignment="1">
      <alignment horizontal="center"/>
    </xf>
    <xf numFmtId="0" fontId="0" fillId="17" borderId="64" xfId="0" applyFill="1" applyBorder="1" applyAlignment="1">
      <alignment horizontal="center"/>
    </xf>
    <xf numFmtId="0" fontId="0" fillId="17" borderId="49" xfId="0" applyFill="1" applyBorder="1" applyAlignment="1">
      <alignment horizontal="center"/>
    </xf>
    <xf numFmtId="0" fontId="0" fillId="16" borderId="16" xfId="0" applyFill="1" applyBorder="1" applyAlignment="1">
      <alignment horizontal="center" vertical="center"/>
    </xf>
    <xf numFmtId="0" fontId="0" fillId="16" borderId="18" xfId="0" applyFill="1" applyBorder="1" applyAlignment="1">
      <alignment horizontal="center" vertical="center"/>
    </xf>
    <xf numFmtId="0" fontId="0" fillId="16" borderId="2" xfId="0" applyFill="1" applyBorder="1" applyAlignment="1">
      <alignment horizontal="center"/>
    </xf>
    <xf numFmtId="0" fontId="0" fillId="16" borderId="31" xfId="0" applyFill="1" applyBorder="1" applyAlignment="1">
      <alignment horizontal="center"/>
    </xf>
    <xf numFmtId="0" fontId="0" fillId="16" borderId="2" xfId="0" applyFill="1" applyBorder="1" applyAlignment="1">
      <alignment horizontal="left" vertical="center"/>
    </xf>
    <xf numFmtId="0" fontId="0" fillId="16" borderId="31" xfId="0" applyFill="1" applyBorder="1" applyAlignment="1">
      <alignment horizontal="left" vertical="center"/>
    </xf>
    <xf numFmtId="0" fontId="0" fillId="15" borderId="24" xfId="0" applyFill="1" applyBorder="1" applyAlignment="1">
      <alignment horizontal="center"/>
    </xf>
    <xf numFmtId="0" fontId="0" fillId="15" borderId="25" xfId="0" applyFill="1" applyBorder="1" applyAlignment="1">
      <alignment horizontal="center"/>
    </xf>
    <xf numFmtId="0" fontId="0" fillId="15" borderId="26" xfId="0" applyFill="1" applyBorder="1" applyAlignment="1">
      <alignment horizontal="center"/>
    </xf>
    <xf numFmtId="0" fontId="0" fillId="18" borderId="47" xfId="0" applyFill="1" applyBorder="1" applyAlignment="1">
      <alignment horizontal="center"/>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1" xfId="0" applyFont="1" applyBorder="1" applyAlignment="1">
      <alignment horizontal="left" vertical="center" wrapText="1"/>
    </xf>
    <xf numFmtId="4" fontId="0" fillId="0" borderId="0" xfId="0" applyNumberFormat="1" applyBorder="1" applyAlignment="1">
      <alignment horizontal="center"/>
    </xf>
    <xf numFmtId="4" fontId="5" fillId="18" borderId="4" xfId="2" applyNumberFormat="1" applyFont="1" applyFill="1" applyBorder="1" applyAlignment="1">
      <alignment horizontal="center"/>
    </xf>
    <xf numFmtId="4" fontId="5" fillId="18" borderId="5" xfId="2" applyNumberFormat="1" applyFont="1" applyFill="1" applyBorder="1" applyAlignment="1">
      <alignment horizontal="center"/>
    </xf>
    <xf numFmtId="4" fontId="5" fillId="18" borderId="3" xfId="2" applyNumberFormat="1" applyFont="1" applyFill="1" applyBorder="1" applyAlignment="1">
      <alignment horizontal="center"/>
    </xf>
    <xf numFmtId="3" fontId="5" fillId="16" borderId="14" xfId="5" applyNumberFormat="1" applyFont="1" applyFill="1" applyBorder="1" applyAlignment="1">
      <alignment horizontal="center" vertical="center"/>
    </xf>
    <xf numFmtId="3" fontId="5" fillId="16" borderId="32" xfId="5" applyNumberFormat="1" applyFont="1" applyFill="1" applyBorder="1" applyAlignment="1">
      <alignment horizontal="center" vertical="center"/>
    </xf>
    <xf numFmtId="3" fontId="5" fillId="16" borderId="18" xfId="5" applyNumberFormat="1" applyFont="1" applyFill="1" applyBorder="1" applyAlignment="1">
      <alignment horizontal="center" vertical="center"/>
    </xf>
    <xf numFmtId="3" fontId="5" fillId="16" borderId="31" xfId="5" applyNumberFormat="1" applyFont="1" applyFill="1" applyBorder="1" applyAlignment="1">
      <alignment horizontal="center" vertical="center"/>
    </xf>
    <xf numFmtId="4" fontId="5" fillId="16" borderId="32" xfId="5" applyNumberFormat="1" applyFont="1" applyFill="1" applyBorder="1" applyAlignment="1">
      <alignment horizontal="center" vertical="center"/>
    </xf>
    <xf numFmtId="4" fontId="5" fillId="16" borderId="31" xfId="5" applyNumberFormat="1" applyFont="1" applyFill="1" applyBorder="1" applyAlignment="1">
      <alignment horizontal="center" vertical="center"/>
    </xf>
    <xf numFmtId="4" fontId="5" fillId="16" borderId="28" xfId="5" applyNumberFormat="1" applyFont="1" applyFill="1" applyBorder="1" applyAlignment="1">
      <alignment horizontal="center" vertical="center"/>
    </xf>
    <xf numFmtId="4" fontId="5" fillId="16" borderId="29" xfId="5" applyNumberFormat="1" applyFont="1" applyFill="1" applyBorder="1" applyAlignment="1">
      <alignment horizontal="center" vertical="center"/>
    </xf>
    <xf numFmtId="4" fontId="3" fillId="7" borderId="7" xfId="0" applyNumberFormat="1" applyFont="1" applyFill="1" applyBorder="1" applyAlignment="1">
      <alignment horizontal="center" vertical="center"/>
    </xf>
    <xf numFmtId="4" fontId="5" fillId="16" borderId="33" xfId="5" applyNumberFormat="1" applyFont="1" applyFill="1" applyBorder="1" applyAlignment="1">
      <alignment horizontal="center" vertical="center"/>
    </xf>
    <xf numFmtId="4" fontId="5" fillId="16" borderId="5" xfId="5" applyNumberFormat="1" applyFont="1" applyFill="1" applyBorder="1" applyAlignment="1">
      <alignment horizontal="center" vertical="center"/>
    </xf>
    <xf numFmtId="4" fontId="5" fillId="16" borderId="3" xfId="5" applyNumberFormat="1" applyFont="1" applyFill="1" applyBorder="1" applyAlignment="1">
      <alignment horizontal="center" vertical="center"/>
    </xf>
    <xf numFmtId="4" fontId="1" fillId="17" borderId="33" xfId="4" applyNumberFormat="1" applyFill="1" applyBorder="1" applyAlignment="1">
      <alignment horizontal="center"/>
    </xf>
    <xf numFmtId="4" fontId="1" fillId="17" borderId="5" xfId="4" applyNumberFormat="1" applyFill="1" applyBorder="1" applyAlignment="1">
      <alignment horizontal="center"/>
    </xf>
    <xf numFmtId="4" fontId="1" fillId="17" borderId="3" xfId="4" applyNumberFormat="1" applyFill="1" applyBorder="1" applyAlignment="1">
      <alignment horizontal="center"/>
    </xf>
    <xf numFmtId="4" fontId="0" fillId="7" borderId="0" xfId="0" applyNumberFormat="1" applyFill="1" applyBorder="1" applyAlignment="1">
      <alignment horizontal="center"/>
    </xf>
    <xf numFmtId="4" fontId="1" fillId="17" borderId="33" xfId="3" applyNumberFormat="1" applyFill="1" applyBorder="1" applyAlignment="1">
      <alignment horizontal="right"/>
    </xf>
    <xf numFmtId="4" fontId="1" fillId="17" borderId="5" xfId="3" applyNumberFormat="1" applyFill="1" applyBorder="1" applyAlignment="1">
      <alignment horizontal="right"/>
    </xf>
    <xf numFmtId="4" fontId="1" fillId="17" borderId="35" xfId="3" applyNumberFormat="1" applyFill="1" applyBorder="1" applyAlignment="1">
      <alignment horizontal="right"/>
    </xf>
    <xf numFmtId="4" fontId="0" fillId="0" borderId="2" xfId="0" applyNumberFormat="1" applyFont="1" applyBorder="1" applyAlignment="1">
      <alignment horizontal="center"/>
    </xf>
    <xf numFmtId="4" fontId="0" fillId="0" borderId="32" xfId="0" applyNumberFormat="1" applyBorder="1" applyAlignment="1">
      <alignment horizontal="center"/>
    </xf>
    <xf numFmtId="4" fontId="0" fillId="0" borderId="2" xfId="0" applyNumberFormat="1" applyBorder="1" applyAlignment="1">
      <alignment horizontal="center"/>
    </xf>
    <xf numFmtId="4" fontId="0" fillId="0" borderId="31" xfId="0" applyNumberFormat="1" applyBorder="1" applyAlignment="1">
      <alignment horizontal="center"/>
    </xf>
    <xf numFmtId="4" fontId="5" fillId="16" borderId="25" xfId="5" applyNumberFormat="1" applyFont="1" applyFill="1" applyBorder="1" applyAlignment="1">
      <alignment horizontal="center"/>
    </xf>
    <xf numFmtId="4" fontId="5" fillId="16" borderId="26" xfId="5" applyNumberFormat="1" applyFont="1" applyFill="1" applyBorder="1" applyAlignment="1">
      <alignment horizontal="center"/>
    </xf>
    <xf numFmtId="4" fontId="0" fillId="0" borderId="23" xfId="0" applyNumberFormat="1" applyBorder="1" applyAlignment="1">
      <alignment horizontal="center"/>
    </xf>
    <xf numFmtId="4" fontId="0" fillId="0" borderId="31" xfId="0" applyNumberFormat="1" applyFont="1" applyBorder="1" applyAlignment="1">
      <alignment horizontal="center"/>
    </xf>
    <xf numFmtId="3" fontId="0" fillId="7" borderId="0" xfId="0" applyNumberFormat="1" applyFill="1" applyBorder="1" applyAlignment="1">
      <alignment horizontal="center"/>
    </xf>
    <xf numFmtId="4" fontId="1" fillId="17" borderId="33" xfId="3" applyNumberFormat="1" applyFill="1" applyBorder="1" applyAlignment="1">
      <alignment horizontal="center"/>
    </xf>
    <xf numFmtId="4" fontId="1" fillId="17" borderId="5" xfId="3" applyNumberFormat="1" applyFill="1" applyBorder="1" applyAlignment="1">
      <alignment horizontal="center"/>
    </xf>
    <xf numFmtId="4" fontId="1" fillId="17" borderId="35" xfId="3" applyNumberFormat="1" applyFill="1" applyBorder="1" applyAlignment="1">
      <alignment horizontal="center"/>
    </xf>
    <xf numFmtId="4" fontId="5" fillId="15" borderId="33" xfId="2" applyNumberFormat="1" applyFont="1" applyFill="1" applyBorder="1" applyAlignment="1">
      <alignment horizontal="center"/>
    </xf>
    <xf numFmtId="4" fontId="5" fillId="15" borderId="5" xfId="2" applyNumberFormat="1" applyFont="1" applyFill="1" applyBorder="1" applyAlignment="1">
      <alignment horizontal="center"/>
    </xf>
    <xf numFmtId="4" fontId="5" fillId="15" borderId="35" xfId="2" applyNumberFormat="1" applyFont="1" applyFill="1" applyBorder="1" applyAlignment="1">
      <alignment horizontal="center"/>
    </xf>
    <xf numFmtId="0" fontId="10" fillId="18" borderId="54" xfId="0" applyFont="1" applyFill="1" applyBorder="1" applyAlignment="1">
      <alignment horizontal="center"/>
    </xf>
    <xf numFmtId="0" fontId="10" fillId="18" borderId="55" xfId="0" applyFont="1" applyFill="1" applyBorder="1" applyAlignment="1">
      <alignment horizontal="center"/>
    </xf>
    <xf numFmtId="0" fontId="10" fillId="18" borderId="56" xfId="0" applyFont="1" applyFill="1" applyBorder="1" applyAlignment="1">
      <alignment horizontal="center"/>
    </xf>
    <xf numFmtId="0" fontId="3" fillId="16" borderId="24" xfId="0" applyFont="1" applyFill="1" applyBorder="1" applyAlignment="1">
      <alignment horizontal="center" vertical="center" wrapText="1"/>
    </xf>
    <xf numFmtId="0" fontId="3" fillId="16" borderId="25" xfId="0" applyFont="1" applyFill="1" applyBorder="1" applyAlignment="1">
      <alignment horizontal="center" vertical="center" wrapText="1"/>
    </xf>
    <xf numFmtId="0" fontId="10" fillId="18" borderId="24" xfId="0" applyFont="1" applyFill="1" applyBorder="1" applyAlignment="1">
      <alignment horizontal="center"/>
    </xf>
    <xf numFmtId="0" fontId="10" fillId="18" borderId="25" xfId="0" applyFont="1" applyFill="1" applyBorder="1" applyAlignment="1">
      <alignment horizontal="center"/>
    </xf>
    <xf numFmtId="0" fontId="10" fillId="18" borderId="26" xfId="0" applyFont="1" applyFill="1" applyBorder="1" applyAlignment="1">
      <alignment horizontal="center"/>
    </xf>
    <xf numFmtId="0" fontId="3" fillId="16" borderId="58" xfId="0" applyFont="1" applyFill="1" applyBorder="1" applyAlignment="1">
      <alignment horizontal="center" vertical="center" wrapText="1"/>
    </xf>
    <xf numFmtId="166" fontId="10" fillId="18" borderId="6" xfId="0" applyNumberFormat="1" applyFont="1" applyFill="1" applyBorder="1" applyAlignment="1">
      <alignment horizontal="center"/>
    </xf>
    <xf numFmtId="166" fontId="10" fillId="18" borderId="7" xfId="0" applyNumberFormat="1" applyFont="1" applyFill="1" applyBorder="1" applyAlignment="1">
      <alignment horizontal="center"/>
    </xf>
    <xf numFmtId="166" fontId="10" fillId="18" borderId="8" xfId="0" applyNumberFormat="1" applyFont="1" applyFill="1" applyBorder="1" applyAlignment="1">
      <alignment horizontal="center"/>
    </xf>
    <xf numFmtId="166" fontId="3" fillId="16" borderId="24" xfId="0" applyNumberFormat="1" applyFont="1" applyFill="1" applyBorder="1" applyAlignment="1">
      <alignment horizontal="center" vertical="center" wrapText="1"/>
    </xf>
    <xf numFmtId="166" fontId="3" fillId="16" borderId="25" xfId="0" applyNumberFormat="1" applyFont="1" applyFill="1" applyBorder="1" applyAlignment="1">
      <alignment horizontal="center" vertical="center" wrapText="1"/>
    </xf>
    <xf numFmtId="4" fontId="0" fillId="0" borderId="7" xfId="0" applyNumberFormat="1" applyBorder="1" applyAlignment="1">
      <alignment horizontal="center"/>
    </xf>
    <xf numFmtId="4" fontId="10" fillId="15" borderId="33" xfId="2" applyNumberFormat="1" applyFont="1" applyFill="1" applyBorder="1" applyAlignment="1">
      <alignment horizontal="center" vertical="center"/>
    </xf>
    <xf numFmtId="4" fontId="10" fillId="15" borderId="5" xfId="2" applyNumberFormat="1" applyFont="1" applyFill="1" applyBorder="1" applyAlignment="1">
      <alignment horizontal="center" vertical="center"/>
    </xf>
    <xf numFmtId="4" fontId="10" fillId="15" borderId="35" xfId="2" applyNumberFormat="1" applyFont="1" applyFill="1" applyBorder="1" applyAlignment="1">
      <alignment horizontal="center" vertical="center"/>
    </xf>
    <xf numFmtId="4" fontId="0" fillId="16" borderId="43" xfId="0" applyNumberFormat="1" applyFill="1" applyBorder="1" applyAlignment="1">
      <alignment horizontal="center" vertical="center"/>
    </xf>
    <xf numFmtId="4" fontId="0" fillId="16" borderId="44" xfId="0" applyNumberFormat="1" applyFill="1" applyBorder="1" applyAlignment="1">
      <alignment horizontal="center" vertical="center"/>
    </xf>
    <xf numFmtId="4" fontId="0" fillId="16" borderId="5" xfId="0" applyNumberFormat="1" applyFill="1" applyBorder="1" applyAlignment="1">
      <alignment horizontal="center"/>
    </xf>
    <xf numFmtId="4" fontId="1" fillId="16" borderId="33" xfId="3" applyNumberFormat="1" applyFill="1" applyBorder="1" applyAlignment="1">
      <alignment horizontal="center" vertical="center"/>
    </xf>
    <xf numFmtId="4" fontId="1" fillId="16" borderId="5" xfId="3" applyNumberFormat="1" applyFill="1" applyBorder="1" applyAlignment="1">
      <alignment horizontal="center" vertical="center"/>
    </xf>
    <xf numFmtId="4" fontId="1" fillId="16" borderId="35" xfId="3" applyNumberFormat="1" applyFill="1" applyBorder="1" applyAlignment="1">
      <alignment horizontal="center" vertical="center"/>
    </xf>
    <xf numFmtId="3" fontId="5" fillId="16" borderId="6" xfId="5" applyNumberFormat="1" applyFont="1" applyFill="1" applyBorder="1" applyAlignment="1">
      <alignment horizontal="center" vertical="center"/>
    </xf>
    <xf numFmtId="3" fontId="5" fillId="16" borderId="41" xfId="5" applyNumberFormat="1" applyFont="1" applyFill="1" applyBorder="1" applyAlignment="1">
      <alignment horizontal="center" vertical="center"/>
    </xf>
    <xf numFmtId="3" fontId="5" fillId="16" borderId="38" xfId="5" applyNumberFormat="1" applyFont="1" applyFill="1" applyBorder="1" applyAlignment="1">
      <alignment horizontal="center" vertical="center"/>
    </xf>
    <xf numFmtId="3" fontId="5" fillId="16" borderId="42" xfId="5" applyNumberFormat="1" applyFont="1" applyFill="1" applyBorder="1" applyAlignment="1">
      <alignment horizontal="center" vertical="center"/>
    </xf>
    <xf numFmtId="0" fontId="8" fillId="0" borderId="0" xfId="0" applyFont="1" applyBorder="1" applyAlignment="1">
      <alignment horizontal="left" vertical="center"/>
    </xf>
    <xf numFmtId="0" fontId="9" fillId="0" borderId="0" xfId="7" applyFont="1" applyFill="1" applyBorder="1" applyAlignment="1">
      <alignment horizontal="left" vertical="center"/>
    </xf>
    <xf numFmtId="0" fontId="8" fillId="0" borderId="0" xfId="0" applyFont="1" applyFill="1" applyBorder="1" applyAlignment="1">
      <alignment horizontal="left" vertical="center"/>
    </xf>
    <xf numFmtId="4" fontId="5" fillId="16" borderId="33" xfId="5" applyNumberFormat="1" applyFont="1" applyFill="1" applyBorder="1" applyAlignment="1">
      <alignment horizontal="center"/>
    </xf>
    <xf numFmtId="4" fontId="5" fillId="16" borderId="3" xfId="5" applyNumberFormat="1" applyFont="1" applyFill="1" applyBorder="1" applyAlignment="1">
      <alignment horizontal="center"/>
    </xf>
    <xf numFmtId="4" fontId="5" fillId="0" borderId="7" xfId="0" applyNumberFormat="1" applyFont="1" applyBorder="1" applyAlignment="1">
      <alignment horizont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7" xfId="0" applyFont="1" applyBorder="1" applyAlignment="1">
      <alignment horizontal="center" vertical="center"/>
    </xf>
    <xf numFmtId="0" fontId="8" fillId="0" borderId="44" xfId="0" applyFont="1" applyBorder="1" applyAlignment="1">
      <alignment horizontal="center" vertical="center"/>
    </xf>
    <xf numFmtId="0" fontId="8" fillId="0" borderId="31" xfId="0" applyFont="1" applyBorder="1" applyAlignment="1">
      <alignment horizontal="center" vertical="center"/>
    </xf>
    <xf numFmtId="0" fontId="8" fillId="0" borderId="19" xfId="0" applyFont="1" applyBorder="1" applyAlignment="1">
      <alignment horizontal="center" vertical="center"/>
    </xf>
    <xf numFmtId="0" fontId="9" fillId="0" borderId="1" xfId="7" applyFont="1" applyFill="1" applyBorder="1" applyAlignment="1">
      <alignment horizontal="center" vertical="center"/>
    </xf>
    <xf numFmtId="0" fontId="9" fillId="0" borderId="2" xfId="7" applyFont="1" applyFill="1" applyBorder="1" applyAlignment="1">
      <alignment horizontal="center" vertical="center"/>
    </xf>
    <xf numFmtId="0" fontId="8" fillId="0" borderId="60" xfId="0" applyFont="1" applyBorder="1" applyAlignment="1">
      <alignment horizontal="center" vertical="center"/>
    </xf>
    <xf numFmtId="0" fontId="8" fillId="0" borderId="22"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6" xfId="0" applyFont="1" applyBorder="1" applyAlignment="1">
      <alignment horizontal="center" vertical="center"/>
    </xf>
    <xf numFmtId="0" fontId="8" fillId="0" borderId="46" xfId="0" applyFont="1" applyFill="1" applyBorder="1" applyAlignment="1">
      <alignment horizontal="center" vertical="center"/>
    </xf>
    <xf numFmtId="0" fontId="8" fillId="0" borderId="4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27" xfId="0" applyFont="1" applyBorder="1" applyAlignment="1">
      <alignment horizontal="center" vertical="center"/>
    </xf>
    <xf numFmtId="0" fontId="8" fillId="0" borderId="30" xfId="0" applyFont="1" applyBorder="1" applyAlignment="1">
      <alignment horizontal="center" vertical="center"/>
    </xf>
    <xf numFmtId="0" fontId="9" fillId="7" borderId="1" xfId="7" applyFont="1" applyFill="1" applyBorder="1" applyAlignment="1">
      <alignment horizontal="center" vertical="center"/>
    </xf>
    <xf numFmtId="0" fontId="9" fillId="7" borderId="2" xfId="7" applyFont="1" applyFill="1" applyBorder="1" applyAlignment="1">
      <alignment horizontal="center" vertical="center"/>
    </xf>
    <xf numFmtId="0" fontId="13" fillId="18" borderId="24" xfId="2" applyFont="1" applyFill="1" applyBorder="1" applyAlignment="1">
      <alignment horizontal="center"/>
    </xf>
    <xf numFmtId="0" fontId="13" fillId="18" borderId="26" xfId="2" applyFont="1" applyFill="1" applyBorder="1" applyAlignment="1">
      <alignment horizontal="center"/>
    </xf>
    <xf numFmtId="0" fontId="9" fillId="0" borderId="46" xfId="7" applyFont="1" applyFill="1" applyBorder="1" applyAlignment="1">
      <alignment horizontal="center" vertical="center"/>
    </xf>
    <xf numFmtId="0" fontId="13" fillId="18" borderId="29" xfId="2" applyFont="1" applyFill="1" applyBorder="1" applyAlignment="1">
      <alignment horizontal="center"/>
    </xf>
    <xf numFmtId="0" fontId="13" fillId="18" borderId="32" xfId="2" applyFont="1" applyFill="1" applyBorder="1" applyAlignment="1">
      <alignment horizontal="center"/>
    </xf>
    <xf numFmtId="0" fontId="8" fillId="0" borderId="45" xfId="0" applyFont="1" applyBorder="1" applyAlignment="1">
      <alignment horizontal="center" vertical="center"/>
    </xf>
    <xf numFmtId="0" fontId="8" fillId="0" borderId="61" xfId="0" applyFont="1" applyBorder="1" applyAlignment="1">
      <alignment horizontal="center" vertical="center"/>
    </xf>
    <xf numFmtId="0" fontId="9" fillId="0" borderId="59" xfId="7" applyFont="1" applyFill="1" applyBorder="1" applyAlignment="1">
      <alignment horizontal="center" vertical="center"/>
    </xf>
    <xf numFmtId="0" fontId="9" fillId="0" borderId="60" xfId="7" applyFont="1" applyFill="1" applyBorder="1" applyAlignment="1">
      <alignment horizontal="center" vertical="center"/>
    </xf>
    <xf numFmtId="0" fontId="9" fillId="0" borderId="0" xfId="7" applyFont="1" applyFill="1" applyBorder="1" applyAlignment="1">
      <alignment horizontal="center" vertical="center"/>
    </xf>
    <xf numFmtId="0" fontId="9" fillId="0" borderId="57" xfId="7" applyFont="1" applyFill="1" applyBorder="1" applyAlignment="1">
      <alignment horizontal="center" vertical="center"/>
    </xf>
    <xf numFmtId="0" fontId="9" fillId="0" borderId="62" xfId="7" applyFont="1" applyFill="1" applyBorder="1" applyAlignment="1">
      <alignment horizontal="center" vertical="center"/>
    </xf>
    <xf numFmtId="0" fontId="9" fillId="0" borderId="40" xfId="7" applyFont="1" applyFill="1" applyBorder="1" applyAlignment="1">
      <alignment horizontal="center" vertical="center"/>
    </xf>
    <xf numFmtId="0" fontId="8" fillId="0" borderId="57" xfId="0" applyFont="1" applyBorder="1" applyAlignment="1">
      <alignment horizontal="center" vertical="center"/>
    </xf>
    <xf numFmtId="0" fontId="8" fillId="0" borderId="59" xfId="0" applyFont="1" applyBorder="1" applyAlignment="1">
      <alignment horizontal="center" vertical="center"/>
    </xf>
    <xf numFmtId="0" fontId="8" fillId="0" borderId="62" xfId="0" applyFont="1" applyBorder="1" applyAlignment="1">
      <alignment horizontal="center" vertical="center"/>
    </xf>
    <xf numFmtId="0" fontId="8" fillId="0" borderId="40" xfId="0" applyFont="1" applyBorder="1" applyAlignment="1">
      <alignment horizontal="center" vertical="center"/>
    </xf>
    <xf numFmtId="4" fontId="0" fillId="0" borderId="23" xfId="0" applyNumberFormat="1" applyBorder="1" applyAlignment="1">
      <alignment horizontal="left"/>
    </xf>
    <xf numFmtId="4" fontId="0" fillId="0" borderId="2" xfId="0" applyNumberFormat="1" applyBorder="1" applyAlignment="1">
      <alignment horizontal="left"/>
    </xf>
    <xf numFmtId="4" fontId="0" fillId="0" borderId="0" xfId="0" applyNumberFormat="1" applyAlignment="1">
      <alignment horizontal="left"/>
    </xf>
    <xf numFmtId="4" fontId="0" fillId="0" borderId="31" xfId="0" applyNumberFormat="1" applyBorder="1" applyAlignment="1">
      <alignment horizontal="left"/>
    </xf>
    <xf numFmtId="4" fontId="5" fillId="0" borderId="23" xfId="0" applyNumberFormat="1" applyFont="1" applyBorder="1" applyAlignment="1">
      <alignment horizontal="left"/>
    </xf>
    <xf numFmtId="4" fontId="5" fillId="0" borderId="2" xfId="0" applyNumberFormat="1" applyFont="1" applyBorder="1" applyAlignment="1">
      <alignment horizontal="left"/>
    </xf>
    <xf numFmtId="4" fontId="5" fillId="0" borderId="23" xfId="0" applyNumberFormat="1" applyFont="1" applyBorder="1" applyAlignment="1">
      <alignment horizontal="right"/>
    </xf>
    <xf numFmtId="3" fontId="5" fillId="0" borderId="30" xfId="0" applyNumberFormat="1" applyFont="1" applyBorder="1" applyAlignment="1">
      <alignment horizontal="right"/>
    </xf>
    <xf numFmtId="4" fontId="0" fillId="0" borderId="0" xfId="0" applyNumberFormat="1" applyAlignment="1">
      <alignment horizontal="right"/>
    </xf>
    <xf numFmtId="4" fontId="5" fillId="0" borderId="2" xfId="0" applyNumberFormat="1" applyFont="1" applyBorder="1" applyAlignment="1">
      <alignment horizontal="right"/>
    </xf>
    <xf numFmtId="3" fontId="5" fillId="0" borderId="37" xfId="0" applyNumberFormat="1" applyFont="1" applyBorder="1" applyAlignment="1">
      <alignment horizontal="right"/>
    </xf>
    <xf numFmtId="4" fontId="0" fillId="0" borderId="17" xfId="0" applyNumberFormat="1" applyBorder="1" applyAlignment="1">
      <alignment horizontal="right"/>
    </xf>
    <xf numFmtId="3" fontId="5" fillId="0" borderId="17" xfId="0" applyNumberFormat="1" applyFont="1" applyBorder="1" applyAlignment="1">
      <alignment horizontal="right"/>
    </xf>
    <xf numFmtId="3" fontId="5" fillId="7" borderId="19" xfId="7" applyNumberFormat="1" applyFont="1" applyFill="1" applyBorder="1" applyAlignment="1">
      <alignment horizontal="right"/>
    </xf>
    <xf numFmtId="3" fontId="1" fillId="16" borderId="26" xfId="3" applyNumberFormat="1" applyFill="1" applyBorder="1" applyAlignment="1">
      <alignment horizontal="right"/>
    </xf>
    <xf numFmtId="3" fontId="5" fillId="0" borderId="15" xfId="0" applyNumberFormat="1" applyFont="1" applyBorder="1" applyAlignment="1">
      <alignment horizontal="right"/>
    </xf>
    <xf numFmtId="3" fontId="5" fillId="0" borderId="19" xfId="0" applyNumberFormat="1" applyFont="1" applyBorder="1" applyAlignment="1">
      <alignment horizontal="right"/>
    </xf>
    <xf numFmtId="172" fontId="10" fillId="15" borderId="26" xfId="6" applyNumberFormat="1" applyFont="1" applyFill="1" applyBorder="1" applyAlignment="1">
      <alignment horizontal="right"/>
    </xf>
    <xf numFmtId="4" fontId="5" fillId="0" borderId="2" xfId="0" applyNumberFormat="1" applyFont="1" applyFill="1" applyBorder="1" applyAlignment="1">
      <alignment horizontal="left"/>
    </xf>
    <xf numFmtId="4" fontId="5" fillId="0" borderId="31" xfId="0" applyNumberFormat="1" applyFont="1" applyFill="1" applyBorder="1" applyAlignment="1">
      <alignment horizontal="left"/>
    </xf>
    <xf numFmtId="3" fontId="5" fillId="0" borderId="17" xfId="0" applyNumberFormat="1" applyFont="1" applyFill="1" applyBorder="1" applyAlignment="1">
      <alignment horizontal="right"/>
    </xf>
    <xf numFmtId="3" fontId="5" fillId="0" borderId="19" xfId="0" applyNumberFormat="1" applyFont="1" applyFill="1" applyBorder="1" applyAlignment="1">
      <alignment horizontal="right"/>
    </xf>
    <xf numFmtId="4" fontId="5" fillId="0" borderId="23" xfId="0" applyNumberFormat="1" applyFont="1" applyFill="1" applyBorder="1" applyAlignment="1">
      <alignment horizontal="left"/>
    </xf>
    <xf numFmtId="4" fontId="5" fillId="0" borderId="31" xfId="0" applyNumberFormat="1" applyFont="1" applyBorder="1" applyAlignment="1">
      <alignment horizontal="left"/>
    </xf>
    <xf numFmtId="3" fontId="5" fillId="0" borderId="30" xfId="0" applyNumberFormat="1" applyFont="1" applyFill="1" applyBorder="1" applyAlignment="1">
      <alignment horizontal="right" indent="2"/>
    </xf>
    <xf numFmtId="3" fontId="5" fillId="0" borderId="17" xfId="0" applyNumberFormat="1" applyFont="1" applyBorder="1" applyAlignment="1">
      <alignment horizontal="right" indent="2"/>
    </xf>
    <xf numFmtId="3" fontId="5" fillId="0" borderId="19" xfId="0" applyNumberFormat="1" applyFont="1" applyBorder="1" applyAlignment="1">
      <alignment horizontal="right" indent="2"/>
    </xf>
    <xf numFmtId="4" fontId="14" fillId="16" borderId="32" xfId="5" applyNumberFormat="1" applyFont="1" applyFill="1" applyBorder="1" applyAlignment="1">
      <alignment horizontal="center" vertical="center"/>
    </xf>
    <xf numFmtId="4" fontId="14" fillId="16" borderId="31" xfId="5" applyNumberFormat="1" applyFont="1" applyFill="1" applyBorder="1" applyAlignment="1">
      <alignment horizontal="center" vertical="center"/>
    </xf>
    <xf numFmtId="3" fontId="5" fillId="0" borderId="51" xfId="0" applyNumberFormat="1" applyFont="1" applyFill="1" applyBorder="1" applyAlignment="1">
      <alignment horizontal="center"/>
    </xf>
    <xf numFmtId="3" fontId="5" fillId="0" borderId="34" xfId="0" applyNumberFormat="1" applyFont="1" applyFill="1" applyBorder="1" applyAlignment="1">
      <alignment horizontal="center"/>
    </xf>
    <xf numFmtId="4" fontId="5" fillId="0" borderId="47" xfId="0" applyNumberFormat="1" applyFont="1" applyFill="1" applyBorder="1" applyAlignment="1">
      <alignment horizontal="left"/>
    </xf>
    <xf numFmtId="3" fontId="5" fillId="0" borderId="50" xfId="0" applyNumberFormat="1" applyFont="1" applyFill="1" applyBorder="1" applyAlignment="1">
      <alignment horizontal="right"/>
    </xf>
    <xf numFmtId="3" fontId="10" fillId="15" borderId="26" xfId="3" applyNumberFormat="1" applyFont="1" applyFill="1" applyBorder="1" applyAlignment="1">
      <alignment horizontal="right"/>
    </xf>
    <xf numFmtId="4" fontId="0" fillId="0" borderId="32" xfId="0" applyNumberFormat="1" applyBorder="1" applyAlignment="1">
      <alignment horizontal="left"/>
    </xf>
  </cellXfs>
  <cellStyles count="8">
    <cellStyle name="20% - Énfasis1" xfId="3" builtinId="30"/>
    <cellStyle name="40% - Énfasis1" xfId="4" builtinId="31"/>
    <cellStyle name="60% - Énfasis1" xfId="5" builtinId="32"/>
    <cellStyle name="Bueno" xfId="1" builtinId="26"/>
    <cellStyle name="Énfasis1" xfId="2" builtinId="29"/>
    <cellStyle name="Moneda" xfId="6" builtinId="4"/>
    <cellStyle name="Neutral" xfId="7"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opLeftCell="A6" workbookViewId="0">
      <selection activeCell="A25" sqref="A25:D29"/>
    </sheetView>
  </sheetViews>
  <sheetFormatPr baseColWidth="10" defaultRowHeight="15" x14ac:dyDescent="0.25"/>
  <cols>
    <col min="1" max="1" width="42.7109375" bestFit="1" customWidth="1"/>
    <col min="3" max="3" width="15.7109375" bestFit="1" customWidth="1"/>
    <col min="4" max="4" width="20" bestFit="1" customWidth="1"/>
    <col min="5" max="5" width="20.7109375" bestFit="1" customWidth="1"/>
    <col min="6" max="6" width="23.7109375" bestFit="1" customWidth="1"/>
    <col min="7" max="7" width="26" bestFit="1" customWidth="1"/>
  </cols>
  <sheetData>
    <row r="1" spans="1:9" ht="16.5" thickBot="1" x14ac:dyDescent="0.3">
      <c r="A1" s="100" t="s">
        <v>66</v>
      </c>
      <c r="B1" s="101" t="s">
        <v>67</v>
      </c>
      <c r="C1" s="101" t="s">
        <v>68</v>
      </c>
      <c r="D1" s="101" t="s">
        <v>69</v>
      </c>
      <c r="E1" s="101" t="s">
        <v>70</v>
      </c>
      <c r="F1" s="101" t="s">
        <v>71</v>
      </c>
      <c r="G1" s="102" t="s">
        <v>72</v>
      </c>
    </row>
    <row r="2" spans="1:9" ht="15.75" thickBot="1" x14ac:dyDescent="0.3">
      <c r="A2" s="103" t="s">
        <v>73</v>
      </c>
      <c r="B2" s="104"/>
      <c r="C2" s="104"/>
      <c r="D2" s="104"/>
      <c r="E2" s="104"/>
      <c r="F2" s="104"/>
      <c r="G2" s="105"/>
    </row>
    <row r="3" spans="1:9" ht="15.75" thickBot="1" x14ac:dyDescent="0.3">
      <c r="A3" s="53" t="s">
        <v>241</v>
      </c>
      <c r="B3" s="54">
        <v>1</v>
      </c>
      <c r="C3" s="54">
        <f>24000/0.8</f>
        <v>30000</v>
      </c>
      <c r="D3" s="54">
        <f>C3</f>
        <v>30000</v>
      </c>
      <c r="E3" s="54">
        <f>C3*12</f>
        <v>360000</v>
      </c>
      <c r="F3" s="54">
        <f>0.5*E3</f>
        <v>180000</v>
      </c>
      <c r="G3" s="55">
        <f>E3+F3</f>
        <v>540000</v>
      </c>
    </row>
    <row r="4" spans="1:9" ht="15.75" thickBot="1" x14ac:dyDescent="0.3">
      <c r="A4" s="103" t="s">
        <v>74</v>
      </c>
      <c r="B4" s="104"/>
      <c r="C4" s="104"/>
      <c r="D4" s="104"/>
      <c r="E4" s="104"/>
      <c r="F4" s="104"/>
      <c r="G4" s="105"/>
      <c r="I4" t="s">
        <v>240</v>
      </c>
    </row>
    <row r="5" spans="1:9" x14ac:dyDescent="0.25">
      <c r="A5" s="53" t="s">
        <v>75</v>
      </c>
      <c r="B5" s="54">
        <v>1</v>
      </c>
      <c r="C5" s="54">
        <v>20000</v>
      </c>
      <c r="D5" s="54">
        <f>C5</f>
        <v>20000</v>
      </c>
      <c r="E5" s="54">
        <f>12*D5</f>
        <v>240000</v>
      </c>
      <c r="F5" s="54">
        <f>0.5*E5</f>
        <v>120000</v>
      </c>
      <c r="G5" s="55">
        <f>E5+F5</f>
        <v>360000</v>
      </c>
    </row>
    <row r="6" spans="1:9" x14ac:dyDescent="0.25">
      <c r="A6" s="53" t="s">
        <v>76</v>
      </c>
      <c r="B6" s="54">
        <v>1</v>
      </c>
      <c r="C6" s="54">
        <f>7000/0.8</f>
        <v>8750</v>
      </c>
      <c r="D6" s="54">
        <f>C6</f>
        <v>8750</v>
      </c>
      <c r="E6" s="54">
        <f>12*D6</f>
        <v>105000</v>
      </c>
      <c r="F6" s="54">
        <f t="shared" ref="F6:F22" si="0">0.5*E6</f>
        <v>52500</v>
      </c>
      <c r="G6" s="55">
        <f>E6+F6</f>
        <v>157500</v>
      </c>
    </row>
    <row r="7" spans="1:9" x14ac:dyDescent="0.25">
      <c r="A7" s="53" t="s">
        <v>77</v>
      </c>
      <c r="B7" s="54">
        <v>1</v>
      </c>
      <c r="C7" s="54">
        <v>15200</v>
      </c>
      <c r="D7" s="54">
        <f>C7</f>
        <v>15200</v>
      </c>
      <c r="E7" s="54">
        <f>12*D7</f>
        <v>182400</v>
      </c>
      <c r="F7" s="54">
        <f t="shared" si="0"/>
        <v>91200</v>
      </c>
      <c r="G7" s="55">
        <f>E7+F7</f>
        <v>273600</v>
      </c>
    </row>
    <row r="8" spans="1:9" ht="15.75" thickBot="1" x14ac:dyDescent="0.3">
      <c r="A8" s="53" t="s">
        <v>78</v>
      </c>
      <c r="B8" s="54">
        <v>1</v>
      </c>
      <c r="C8" s="54">
        <v>13000</v>
      </c>
      <c r="D8" s="54">
        <f>C8</f>
        <v>13000</v>
      </c>
      <c r="E8" s="54">
        <f>12*C8</f>
        <v>156000</v>
      </c>
      <c r="F8" s="54">
        <f t="shared" si="0"/>
        <v>78000</v>
      </c>
      <c r="G8" s="55">
        <f>E8+F8</f>
        <v>234000</v>
      </c>
    </row>
    <row r="9" spans="1:9" ht="15.75" thickBot="1" x14ac:dyDescent="0.3">
      <c r="A9" s="103" t="s">
        <v>79</v>
      </c>
      <c r="B9" s="104"/>
      <c r="C9" s="104"/>
      <c r="D9" s="104"/>
      <c r="E9" s="104"/>
      <c r="F9" s="104"/>
      <c r="G9" s="105"/>
    </row>
    <row r="10" spans="1:9" x14ac:dyDescent="0.25">
      <c r="A10" s="53" t="s">
        <v>242</v>
      </c>
      <c r="B10" s="54">
        <v>1</v>
      </c>
      <c r="C10" s="54">
        <v>25000</v>
      </c>
      <c r="D10" s="54">
        <f>C10</f>
        <v>25000</v>
      </c>
      <c r="E10" s="54">
        <f>12*C10</f>
        <v>300000</v>
      </c>
      <c r="F10" s="54">
        <f t="shared" si="0"/>
        <v>150000</v>
      </c>
      <c r="G10" s="55">
        <f>F10+E10</f>
        <v>450000</v>
      </c>
    </row>
    <row r="11" spans="1:9" x14ac:dyDescent="0.25">
      <c r="A11" s="36" t="s">
        <v>80</v>
      </c>
      <c r="B11" s="37">
        <v>4</v>
      </c>
      <c r="C11" s="37">
        <v>17000</v>
      </c>
      <c r="D11" s="37">
        <f>4*C11</f>
        <v>68000</v>
      </c>
      <c r="E11" s="37">
        <f>12*D11</f>
        <v>816000</v>
      </c>
      <c r="F11" s="71">
        <f t="shared" si="0"/>
        <v>408000</v>
      </c>
      <c r="G11" s="38">
        <f>E11+F11</f>
        <v>1224000</v>
      </c>
      <c r="H11" t="s">
        <v>249</v>
      </c>
    </row>
    <row r="12" spans="1:9" ht="15.75" thickBot="1" x14ac:dyDescent="0.3">
      <c r="A12" s="36" t="s">
        <v>81</v>
      </c>
      <c r="B12" s="37">
        <v>12</v>
      </c>
      <c r="C12" s="37">
        <v>12000</v>
      </c>
      <c r="D12" s="37">
        <f>12*C12</f>
        <v>144000</v>
      </c>
      <c r="E12" s="37">
        <f>12*D12</f>
        <v>1728000</v>
      </c>
      <c r="F12" s="71">
        <f t="shared" si="0"/>
        <v>864000</v>
      </c>
      <c r="G12" s="38">
        <f>E12+F12</f>
        <v>2592000</v>
      </c>
      <c r="H12" t="s">
        <v>249</v>
      </c>
    </row>
    <row r="13" spans="1:9" ht="15.75" thickBot="1" x14ac:dyDescent="0.3">
      <c r="A13" s="103" t="s">
        <v>82</v>
      </c>
      <c r="B13" s="104"/>
      <c r="C13" s="104"/>
      <c r="D13" s="104"/>
      <c r="E13" s="104"/>
      <c r="F13" s="104"/>
      <c r="G13" s="105"/>
    </row>
    <row r="14" spans="1:9" s="98" customFormat="1" x14ac:dyDescent="0.25">
      <c r="A14" s="49" t="s">
        <v>243</v>
      </c>
      <c r="B14" s="50">
        <v>1</v>
      </c>
      <c r="C14" s="50">
        <v>20000</v>
      </c>
      <c r="D14" s="50">
        <v>20000</v>
      </c>
      <c r="E14" s="50">
        <f>12*D14</f>
        <v>240000</v>
      </c>
      <c r="F14" s="50">
        <f>0.5*E14</f>
        <v>120000</v>
      </c>
      <c r="G14" s="51">
        <f>F14+E14</f>
        <v>360000</v>
      </c>
      <c r="H14" s="98" t="s">
        <v>249</v>
      </c>
    </row>
    <row r="15" spans="1:9" ht="17.25" customHeight="1" x14ac:dyDescent="0.25">
      <c r="A15" s="207" t="s">
        <v>244</v>
      </c>
      <c r="B15" s="54">
        <v>1</v>
      </c>
      <c r="C15" s="208">
        <v>15000</v>
      </c>
      <c r="D15" s="208">
        <f>C15</f>
        <v>15000</v>
      </c>
      <c r="E15" s="208">
        <f>12*D15</f>
        <v>180000</v>
      </c>
      <c r="F15" s="208">
        <f t="shared" si="0"/>
        <v>90000</v>
      </c>
      <c r="G15" s="209">
        <f>F15+E15</f>
        <v>270000</v>
      </c>
    </row>
    <row r="16" spans="1:9" x14ac:dyDescent="0.25">
      <c r="A16" s="40" t="s">
        <v>83</v>
      </c>
      <c r="B16" s="41">
        <v>4</v>
      </c>
      <c r="C16" s="41">
        <v>11000</v>
      </c>
      <c r="D16" s="41">
        <f>C16*4</f>
        <v>44000</v>
      </c>
      <c r="E16" s="41">
        <f>12*D16</f>
        <v>528000</v>
      </c>
      <c r="F16" s="41">
        <f t="shared" si="0"/>
        <v>264000</v>
      </c>
      <c r="G16" s="42">
        <f>F16+E16</f>
        <v>792000</v>
      </c>
      <c r="H16" t="s">
        <v>249</v>
      </c>
    </row>
    <row r="17" spans="1:8" x14ac:dyDescent="0.25">
      <c r="A17" s="53" t="s">
        <v>84</v>
      </c>
      <c r="B17" s="54">
        <v>1</v>
      </c>
      <c r="C17" s="54">
        <v>14000</v>
      </c>
      <c r="D17" s="54">
        <f>C17</f>
        <v>14000</v>
      </c>
      <c r="E17" s="54">
        <f>12*D17</f>
        <v>168000</v>
      </c>
      <c r="F17" s="54">
        <f t="shared" si="0"/>
        <v>84000</v>
      </c>
      <c r="G17" s="55">
        <f>F17+E17</f>
        <v>252000</v>
      </c>
    </row>
    <row r="18" spans="1:8" ht="15.75" thickBot="1" x14ac:dyDescent="0.3">
      <c r="A18" s="45" t="s">
        <v>85</v>
      </c>
      <c r="B18" s="46">
        <v>1</v>
      </c>
      <c r="C18" s="46">
        <v>10000</v>
      </c>
      <c r="D18" s="46">
        <f>C18</f>
        <v>10000</v>
      </c>
      <c r="E18" s="46">
        <f>12*D18</f>
        <v>120000</v>
      </c>
      <c r="F18" s="46">
        <f t="shared" si="0"/>
        <v>60000</v>
      </c>
      <c r="G18" s="47">
        <f>F18+E18</f>
        <v>180000</v>
      </c>
      <c r="H18" t="s">
        <v>249</v>
      </c>
    </row>
    <row r="19" spans="1:8" ht="15.75" thickBot="1" x14ac:dyDescent="0.3">
      <c r="A19" s="103" t="s">
        <v>86</v>
      </c>
      <c r="B19" s="104"/>
      <c r="C19" s="104"/>
      <c r="D19" s="104"/>
      <c r="E19" s="104"/>
      <c r="F19" s="104"/>
      <c r="G19" s="105"/>
    </row>
    <row r="20" spans="1:8" x14ac:dyDescent="0.25">
      <c r="A20" s="53" t="s">
        <v>87</v>
      </c>
      <c r="B20" s="54">
        <v>1</v>
      </c>
      <c r="C20" s="54">
        <f>4500/0.8</f>
        <v>5625</v>
      </c>
      <c r="D20" s="54">
        <f>C20</f>
        <v>5625</v>
      </c>
      <c r="E20" s="54">
        <f>12*D20</f>
        <v>67500</v>
      </c>
      <c r="F20" s="54">
        <f t="shared" si="0"/>
        <v>33750</v>
      </c>
      <c r="G20" s="55">
        <f>F20+E20</f>
        <v>101250</v>
      </c>
    </row>
    <row r="21" spans="1:8" s="98" customFormat="1" x14ac:dyDescent="0.25">
      <c r="A21" s="53" t="s">
        <v>245</v>
      </c>
      <c r="B21" s="54">
        <v>1</v>
      </c>
      <c r="C21" s="54">
        <v>20000</v>
      </c>
      <c r="D21" s="54">
        <v>20000</v>
      </c>
      <c r="E21" s="54">
        <f>12*C21</f>
        <v>240000</v>
      </c>
      <c r="F21" s="54">
        <f>0.5*E21</f>
        <v>120000</v>
      </c>
      <c r="G21" s="55">
        <f>E21+F21</f>
        <v>360000</v>
      </c>
    </row>
    <row r="22" spans="1:8" ht="15.75" thickBot="1" x14ac:dyDescent="0.3">
      <c r="A22" s="56" t="s">
        <v>88</v>
      </c>
      <c r="B22" s="57">
        <v>1</v>
      </c>
      <c r="C22" s="57">
        <f>6000/0.8</f>
        <v>7500</v>
      </c>
      <c r="D22" s="57">
        <f>C22</f>
        <v>7500</v>
      </c>
      <c r="E22" s="57">
        <f>12*D22</f>
        <v>90000</v>
      </c>
      <c r="F22" s="54">
        <f t="shared" si="0"/>
        <v>45000</v>
      </c>
      <c r="G22" s="58">
        <f>F22+E22</f>
        <v>135000</v>
      </c>
    </row>
    <row r="23" spans="1:8" x14ac:dyDescent="0.25">
      <c r="A23" s="34" t="s">
        <v>89</v>
      </c>
      <c r="B23">
        <f>SUM(B2:B22)</f>
        <v>33</v>
      </c>
      <c r="G23" s="35">
        <f>SUM(G2:G22)</f>
        <v>8281350</v>
      </c>
    </row>
    <row r="25" spans="1:8" x14ac:dyDescent="0.25">
      <c r="A25" s="39" t="s">
        <v>90</v>
      </c>
      <c r="B25" s="39"/>
      <c r="C25" s="39">
        <f>(G12+G11)/1000</f>
        <v>3816</v>
      </c>
      <c r="D25" s="39" t="s">
        <v>30</v>
      </c>
    </row>
    <row r="26" spans="1:8" x14ac:dyDescent="0.25">
      <c r="A26" s="43" t="s">
        <v>54</v>
      </c>
      <c r="B26" s="43"/>
      <c r="C26" s="43">
        <f>(G16)/1000</f>
        <v>792</v>
      </c>
      <c r="D26" s="43" t="s">
        <v>30</v>
      </c>
    </row>
    <row r="27" spans="1:8" x14ac:dyDescent="0.25">
      <c r="A27" s="48" t="s">
        <v>55</v>
      </c>
      <c r="B27" s="48"/>
      <c r="C27" s="48">
        <f>(G18)/1000</f>
        <v>180</v>
      </c>
      <c r="D27" s="48" t="s">
        <v>30</v>
      </c>
    </row>
    <row r="28" spans="1:8" x14ac:dyDescent="0.25">
      <c r="A28" s="52" t="s">
        <v>91</v>
      </c>
      <c r="B28" s="52"/>
      <c r="C28" s="52">
        <f>(G14)/1000</f>
        <v>360</v>
      </c>
      <c r="D28" s="52" t="s">
        <v>30</v>
      </c>
    </row>
    <row r="29" spans="1:8" x14ac:dyDescent="0.25">
      <c r="A29" s="59" t="s">
        <v>63</v>
      </c>
      <c r="B29" s="59"/>
      <c r="C29" s="59">
        <f>(G3+G5+G6+G7+G8+G20+G22+G21+G10+G15+G17)/1000</f>
        <v>3133.35</v>
      </c>
      <c r="D29" s="59" t="s">
        <v>30</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84"/>
  <sheetViews>
    <sheetView workbookViewId="0">
      <selection activeCell="B112" sqref="B112:O116"/>
    </sheetView>
  </sheetViews>
  <sheetFormatPr baseColWidth="10" defaultRowHeight="15" x14ac:dyDescent="0.25"/>
  <cols>
    <col min="1" max="1" width="3.140625" style="225" customWidth="1"/>
    <col min="3" max="3" width="2.85546875" customWidth="1"/>
    <col min="14" max="14" width="8.5703125" customWidth="1"/>
    <col min="15" max="15" width="11.42578125" hidden="1" customWidth="1"/>
    <col min="16" max="16" width="5" style="225" customWidth="1"/>
  </cols>
  <sheetData>
    <row r="1" spans="1:16" s="225" customFormat="1" ht="15.75" thickBot="1" x14ac:dyDescent="0.3"/>
    <row r="2" spans="1:16" ht="15.75" thickBot="1" x14ac:dyDescent="0.3">
      <c r="B2" s="361" t="s">
        <v>198</v>
      </c>
      <c r="C2" s="362"/>
      <c r="D2" s="364" t="s">
        <v>199</v>
      </c>
      <c r="E2" s="365"/>
      <c r="F2" s="365"/>
      <c r="G2" s="365"/>
      <c r="H2" s="365"/>
      <c r="I2" s="365"/>
      <c r="J2" s="365"/>
      <c r="K2" s="365"/>
      <c r="L2" s="365"/>
      <c r="M2" s="365"/>
      <c r="N2" s="365"/>
      <c r="O2" s="365"/>
    </row>
    <row r="3" spans="1:16" x14ac:dyDescent="0.25">
      <c r="B3" s="357">
        <v>1</v>
      </c>
      <c r="C3" s="358"/>
      <c r="D3" s="333" t="s">
        <v>190</v>
      </c>
      <c r="E3" s="334"/>
      <c r="F3" s="334"/>
      <c r="G3" s="334"/>
      <c r="H3" s="334"/>
      <c r="I3" s="334"/>
      <c r="J3" s="334"/>
      <c r="K3" s="334"/>
      <c r="L3" s="334"/>
      <c r="M3" s="334"/>
      <c r="N3" s="334"/>
      <c r="O3" s="334"/>
    </row>
    <row r="4" spans="1:16" x14ac:dyDescent="0.25">
      <c r="B4" s="346">
        <v>2</v>
      </c>
      <c r="C4" s="335"/>
      <c r="D4" s="363" t="s">
        <v>214</v>
      </c>
      <c r="E4" s="363"/>
      <c r="F4" s="363"/>
      <c r="G4" s="363"/>
      <c r="H4" s="363"/>
      <c r="I4" s="363"/>
      <c r="J4" s="363"/>
      <c r="K4" s="363"/>
      <c r="L4" s="363"/>
      <c r="M4" s="363"/>
      <c r="N4" s="363"/>
      <c r="O4" s="339"/>
    </row>
    <row r="5" spans="1:16" x14ac:dyDescent="0.25">
      <c r="B5" s="346">
        <v>3</v>
      </c>
      <c r="C5" s="335"/>
      <c r="D5" s="363" t="s">
        <v>246</v>
      </c>
      <c r="E5" s="363"/>
      <c r="F5" s="363"/>
      <c r="G5" s="363"/>
      <c r="H5" s="363"/>
      <c r="I5" s="363"/>
      <c r="J5" s="363"/>
      <c r="K5" s="363"/>
      <c r="L5" s="363"/>
      <c r="M5" s="363"/>
      <c r="N5" s="363"/>
      <c r="O5" s="339"/>
    </row>
    <row r="6" spans="1:16" x14ac:dyDescent="0.25">
      <c r="B6" s="346">
        <v>4</v>
      </c>
      <c r="C6" s="335"/>
      <c r="D6" s="333" t="s">
        <v>215</v>
      </c>
      <c r="E6" s="334"/>
      <c r="F6" s="334"/>
      <c r="G6" s="334"/>
      <c r="H6" s="334"/>
      <c r="I6" s="334"/>
      <c r="J6" s="334"/>
      <c r="K6" s="334"/>
      <c r="L6" s="334"/>
      <c r="M6" s="334"/>
      <c r="N6" s="334"/>
      <c r="O6" s="334"/>
    </row>
    <row r="7" spans="1:16" x14ac:dyDescent="0.25">
      <c r="B7" s="346">
        <v>5</v>
      </c>
      <c r="C7" s="335"/>
      <c r="D7" s="339" t="s">
        <v>217</v>
      </c>
      <c r="E7" s="340"/>
      <c r="F7" s="340"/>
      <c r="G7" s="340"/>
      <c r="H7" s="340"/>
      <c r="I7" s="340"/>
      <c r="J7" s="340"/>
      <c r="K7" s="340"/>
      <c r="L7" s="340"/>
      <c r="M7" s="340"/>
      <c r="N7" s="340"/>
      <c r="O7" s="340"/>
    </row>
    <row r="8" spans="1:16" x14ac:dyDescent="0.25">
      <c r="B8" s="346">
        <v>6</v>
      </c>
      <c r="C8" s="335"/>
      <c r="D8" s="339"/>
      <c r="E8" s="340"/>
      <c r="F8" s="340"/>
      <c r="G8" s="340"/>
      <c r="H8" s="340"/>
      <c r="I8" s="340"/>
      <c r="J8" s="340"/>
      <c r="K8" s="340"/>
      <c r="L8" s="340"/>
      <c r="M8" s="340"/>
      <c r="N8" s="340"/>
      <c r="O8" s="340"/>
    </row>
    <row r="9" spans="1:16" x14ac:dyDescent="0.25">
      <c r="B9" s="346">
        <v>7</v>
      </c>
      <c r="C9" s="335"/>
      <c r="D9" s="339"/>
      <c r="E9" s="340"/>
      <c r="F9" s="340"/>
      <c r="G9" s="340"/>
      <c r="H9" s="340"/>
      <c r="I9" s="340"/>
      <c r="J9" s="340"/>
      <c r="K9" s="340"/>
      <c r="L9" s="340"/>
      <c r="M9" s="340"/>
      <c r="N9" s="340"/>
      <c r="O9" s="340"/>
    </row>
    <row r="10" spans="1:16" x14ac:dyDescent="0.25">
      <c r="B10" s="346">
        <v>8</v>
      </c>
      <c r="C10" s="335"/>
      <c r="D10" s="368" t="s">
        <v>216</v>
      </c>
      <c r="E10" s="368"/>
      <c r="F10" s="368"/>
      <c r="G10" s="368"/>
      <c r="H10" s="368"/>
      <c r="I10" s="368"/>
      <c r="J10" s="368"/>
      <c r="K10" s="368"/>
      <c r="L10" s="368"/>
      <c r="M10" s="368"/>
      <c r="N10" s="368"/>
      <c r="O10" s="369"/>
    </row>
    <row r="11" spans="1:16" s="98" customFormat="1" x14ac:dyDescent="0.25">
      <c r="A11" s="225"/>
      <c r="B11" s="366">
        <v>9</v>
      </c>
      <c r="C11" s="367"/>
      <c r="D11" s="370"/>
      <c r="E11" s="370"/>
      <c r="F11" s="370"/>
      <c r="G11" s="370"/>
      <c r="H11" s="370"/>
      <c r="I11" s="370"/>
      <c r="J11" s="370"/>
      <c r="K11" s="370"/>
      <c r="L11" s="370"/>
      <c r="M11" s="370"/>
      <c r="N11" s="370"/>
      <c r="O11" s="371"/>
      <c r="P11" s="225"/>
    </row>
    <row r="12" spans="1:16" x14ac:dyDescent="0.25">
      <c r="B12" s="346">
        <v>10</v>
      </c>
      <c r="C12" s="335"/>
      <c r="D12" s="372"/>
      <c r="E12" s="372"/>
      <c r="F12" s="372"/>
      <c r="G12" s="372"/>
      <c r="H12" s="372"/>
      <c r="I12" s="372"/>
      <c r="J12" s="372"/>
      <c r="K12" s="372"/>
      <c r="L12" s="372"/>
      <c r="M12" s="372"/>
      <c r="N12" s="372"/>
      <c r="O12" s="373"/>
    </row>
    <row r="13" spans="1:16" x14ac:dyDescent="0.25">
      <c r="B13" s="346">
        <v>11</v>
      </c>
      <c r="C13" s="335"/>
      <c r="D13" s="333" t="s">
        <v>200</v>
      </c>
      <c r="E13" s="334"/>
      <c r="F13" s="334"/>
      <c r="G13" s="334"/>
      <c r="H13" s="334"/>
      <c r="I13" s="334"/>
      <c r="J13" s="334"/>
      <c r="K13" s="334"/>
      <c r="L13" s="334"/>
      <c r="M13" s="334"/>
      <c r="N13" s="334"/>
      <c r="O13" s="334"/>
    </row>
    <row r="14" spans="1:16" x14ac:dyDescent="0.25">
      <c r="B14" s="346">
        <v>12</v>
      </c>
      <c r="C14" s="335"/>
      <c r="D14" s="333" t="s">
        <v>201</v>
      </c>
      <c r="E14" s="334"/>
      <c r="F14" s="334"/>
      <c r="G14" s="334"/>
      <c r="H14" s="334"/>
      <c r="I14" s="334"/>
      <c r="J14" s="334"/>
      <c r="K14" s="334"/>
      <c r="L14" s="334"/>
      <c r="M14" s="334"/>
      <c r="N14" s="334"/>
      <c r="O14" s="334"/>
    </row>
    <row r="15" spans="1:16" x14ac:dyDescent="0.25">
      <c r="B15" s="346">
        <v>13</v>
      </c>
      <c r="C15" s="335"/>
      <c r="D15" s="359" t="s">
        <v>218</v>
      </c>
      <c r="E15" s="360"/>
      <c r="F15" s="360"/>
      <c r="G15" s="360"/>
      <c r="H15" s="360"/>
      <c r="I15" s="360"/>
      <c r="J15" s="360"/>
      <c r="K15" s="360"/>
      <c r="L15" s="360"/>
      <c r="M15" s="360"/>
      <c r="N15" s="360"/>
      <c r="O15" s="360"/>
    </row>
    <row r="16" spans="1:16" x14ac:dyDescent="0.25">
      <c r="B16" s="346">
        <v>14</v>
      </c>
      <c r="C16" s="335"/>
      <c r="D16" s="333" t="s">
        <v>219</v>
      </c>
      <c r="E16" s="334"/>
      <c r="F16" s="334"/>
      <c r="G16" s="334"/>
      <c r="H16" s="334"/>
      <c r="I16" s="334"/>
      <c r="J16" s="334"/>
      <c r="K16" s="334"/>
      <c r="L16" s="334"/>
      <c r="M16" s="334"/>
      <c r="N16" s="334"/>
      <c r="O16" s="334"/>
    </row>
    <row r="17" spans="2:15" x14ac:dyDescent="0.25">
      <c r="B17" s="346">
        <v>15</v>
      </c>
      <c r="C17" s="335"/>
      <c r="D17" s="333" t="s">
        <v>190</v>
      </c>
      <c r="E17" s="334"/>
      <c r="F17" s="334"/>
      <c r="G17" s="334"/>
      <c r="H17" s="334"/>
      <c r="I17" s="334"/>
      <c r="J17" s="334"/>
      <c r="K17" s="334"/>
      <c r="L17" s="334"/>
      <c r="M17" s="334"/>
      <c r="N17" s="334"/>
      <c r="O17" s="334"/>
    </row>
    <row r="18" spans="2:15" x14ac:dyDescent="0.25">
      <c r="B18" s="346">
        <v>16</v>
      </c>
      <c r="C18" s="335"/>
      <c r="D18" s="333" t="s">
        <v>190</v>
      </c>
      <c r="E18" s="334"/>
      <c r="F18" s="334"/>
      <c r="G18" s="334"/>
      <c r="H18" s="334"/>
      <c r="I18" s="334"/>
      <c r="J18" s="334"/>
      <c r="K18" s="334"/>
      <c r="L18" s="334"/>
      <c r="M18" s="334"/>
      <c r="N18" s="334"/>
      <c r="O18" s="334"/>
    </row>
    <row r="19" spans="2:15" ht="32.25" customHeight="1" x14ac:dyDescent="0.25">
      <c r="B19" s="346">
        <v>17</v>
      </c>
      <c r="C19" s="335"/>
      <c r="D19" s="353" t="s">
        <v>194</v>
      </c>
      <c r="E19" s="353"/>
      <c r="F19" s="353"/>
      <c r="G19" s="353"/>
      <c r="H19" s="353"/>
      <c r="I19" s="353"/>
      <c r="J19" s="353"/>
      <c r="K19" s="353"/>
      <c r="L19" s="353"/>
      <c r="M19" s="353"/>
      <c r="N19" s="353"/>
      <c r="O19" s="354"/>
    </row>
    <row r="20" spans="2:15" ht="32.25" customHeight="1" x14ac:dyDescent="0.25">
      <c r="B20" s="346">
        <v>18</v>
      </c>
      <c r="C20" s="335"/>
      <c r="D20" s="353" t="s">
        <v>195</v>
      </c>
      <c r="E20" s="353"/>
      <c r="F20" s="353"/>
      <c r="G20" s="353"/>
      <c r="H20" s="353"/>
      <c r="I20" s="353"/>
      <c r="J20" s="353"/>
      <c r="K20" s="353"/>
      <c r="L20" s="353"/>
      <c r="M20" s="353"/>
      <c r="N20" s="353"/>
      <c r="O20" s="354"/>
    </row>
    <row r="21" spans="2:15" ht="46.5" customHeight="1" x14ac:dyDescent="0.25">
      <c r="B21" s="346">
        <v>19</v>
      </c>
      <c r="C21" s="335"/>
      <c r="D21" s="353" t="s">
        <v>220</v>
      </c>
      <c r="E21" s="353"/>
      <c r="F21" s="353"/>
      <c r="G21" s="353"/>
      <c r="H21" s="353"/>
      <c r="I21" s="353"/>
      <c r="J21" s="353"/>
      <c r="K21" s="353"/>
      <c r="L21" s="353"/>
      <c r="M21" s="353"/>
      <c r="N21" s="353"/>
      <c r="O21" s="354"/>
    </row>
    <row r="22" spans="2:15" x14ac:dyDescent="0.25">
      <c r="B22" s="346">
        <v>20</v>
      </c>
      <c r="C22" s="335"/>
      <c r="D22" s="333" t="s">
        <v>202</v>
      </c>
      <c r="E22" s="334"/>
      <c r="F22" s="334"/>
      <c r="G22" s="334"/>
      <c r="H22" s="334"/>
      <c r="I22" s="334"/>
      <c r="J22" s="334"/>
      <c r="K22" s="334"/>
      <c r="L22" s="334"/>
      <c r="M22" s="334"/>
      <c r="N22" s="334"/>
      <c r="O22" s="334"/>
    </row>
    <row r="23" spans="2:15" x14ac:dyDescent="0.25">
      <c r="B23" s="346">
        <v>21</v>
      </c>
      <c r="C23" s="335"/>
      <c r="D23" s="333" t="s">
        <v>221</v>
      </c>
      <c r="E23" s="334"/>
      <c r="F23" s="334"/>
      <c r="G23" s="334"/>
      <c r="H23" s="334"/>
      <c r="I23" s="334"/>
      <c r="J23" s="334"/>
      <c r="K23" s="334"/>
      <c r="L23" s="334"/>
      <c r="M23" s="334"/>
      <c r="N23" s="334"/>
      <c r="O23" s="334"/>
    </row>
    <row r="24" spans="2:15" ht="28.5" customHeight="1" x14ac:dyDescent="0.25">
      <c r="B24" s="346">
        <v>22</v>
      </c>
      <c r="C24" s="335"/>
      <c r="D24" s="353" t="s">
        <v>222</v>
      </c>
      <c r="E24" s="353"/>
      <c r="F24" s="353"/>
      <c r="G24" s="353"/>
      <c r="H24" s="353"/>
      <c r="I24" s="353"/>
      <c r="J24" s="353"/>
      <c r="K24" s="353"/>
      <c r="L24" s="353"/>
      <c r="M24" s="353"/>
      <c r="N24" s="353"/>
      <c r="O24" s="354"/>
    </row>
    <row r="25" spans="2:15" ht="32.25" customHeight="1" x14ac:dyDescent="0.25">
      <c r="B25" s="346">
        <v>23</v>
      </c>
      <c r="C25" s="335"/>
      <c r="D25" s="353" t="s">
        <v>223</v>
      </c>
      <c r="E25" s="353"/>
      <c r="F25" s="353"/>
      <c r="G25" s="353"/>
      <c r="H25" s="353"/>
      <c r="I25" s="353"/>
      <c r="J25" s="353"/>
      <c r="K25" s="353"/>
      <c r="L25" s="353"/>
      <c r="M25" s="353"/>
      <c r="N25" s="353"/>
      <c r="O25" s="354"/>
    </row>
    <row r="26" spans="2:15" ht="33.75" customHeight="1" x14ac:dyDescent="0.25">
      <c r="B26" s="346">
        <v>24</v>
      </c>
      <c r="C26" s="335"/>
      <c r="D26" s="353" t="s">
        <v>247</v>
      </c>
      <c r="E26" s="353"/>
      <c r="F26" s="353"/>
      <c r="G26" s="353"/>
      <c r="H26" s="353"/>
      <c r="I26" s="353"/>
      <c r="J26" s="353"/>
      <c r="K26" s="353"/>
      <c r="L26" s="353"/>
      <c r="M26" s="353"/>
      <c r="N26" s="353"/>
      <c r="O26" s="354"/>
    </row>
    <row r="27" spans="2:15" x14ac:dyDescent="0.25">
      <c r="B27" s="346">
        <v>25</v>
      </c>
      <c r="C27" s="335"/>
      <c r="D27" s="333" t="s">
        <v>203</v>
      </c>
      <c r="E27" s="334"/>
      <c r="F27" s="334"/>
      <c r="G27" s="334"/>
      <c r="H27" s="334"/>
      <c r="I27" s="334"/>
      <c r="J27" s="334"/>
      <c r="K27" s="334"/>
      <c r="L27" s="334"/>
      <c r="M27" s="334"/>
      <c r="N27" s="334"/>
      <c r="O27" s="334"/>
    </row>
    <row r="28" spans="2:15" x14ac:dyDescent="0.25">
      <c r="B28" s="346">
        <v>26</v>
      </c>
      <c r="C28" s="335"/>
      <c r="D28" s="333" t="s">
        <v>190</v>
      </c>
      <c r="E28" s="334"/>
      <c r="F28" s="334"/>
      <c r="G28" s="334"/>
      <c r="H28" s="334"/>
      <c r="I28" s="334"/>
      <c r="J28" s="334"/>
      <c r="K28" s="334"/>
      <c r="L28" s="334"/>
      <c r="M28" s="334"/>
      <c r="N28" s="334"/>
      <c r="O28" s="334"/>
    </row>
    <row r="29" spans="2:15" ht="31.5" customHeight="1" x14ac:dyDescent="0.25">
      <c r="B29" s="346">
        <v>27</v>
      </c>
      <c r="C29" s="335"/>
      <c r="D29" s="353" t="s">
        <v>224</v>
      </c>
      <c r="E29" s="353"/>
      <c r="F29" s="353"/>
      <c r="G29" s="353"/>
      <c r="H29" s="353"/>
      <c r="I29" s="353"/>
      <c r="J29" s="353"/>
      <c r="K29" s="353"/>
      <c r="L29" s="353"/>
      <c r="M29" s="353"/>
      <c r="N29" s="353"/>
      <c r="O29" s="354"/>
    </row>
    <row r="30" spans="2:15" x14ac:dyDescent="0.25">
      <c r="B30" s="346">
        <v>28</v>
      </c>
      <c r="C30" s="335"/>
      <c r="D30" s="333" t="s">
        <v>225</v>
      </c>
      <c r="E30" s="334"/>
      <c r="F30" s="334"/>
      <c r="G30" s="334"/>
      <c r="H30" s="334"/>
      <c r="I30" s="334"/>
      <c r="J30" s="334"/>
      <c r="K30" s="334"/>
      <c r="L30" s="334"/>
      <c r="M30" s="334"/>
      <c r="N30" s="334"/>
      <c r="O30" s="334"/>
    </row>
    <row r="31" spans="2:15" x14ac:dyDescent="0.25">
      <c r="B31" s="346">
        <v>29</v>
      </c>
      <c r="C31" s="335"/>
      <c r="D31" s="333" t="s">
        <v>226</v>
      </c>
      <c r="E31" s="334"/>
      <c r="F31" s="334"/>
      <c r="G31" s="334"/>
      <c r="H31" s="334"/>
      <c r="I31" s="334"/>
      <c r="J31" s="334"/>
      <c r="K31" s="334"/>
      <c r="L31" s="334"/>
      <c r="M31" s="334"/>
      <c r="N31" s="334"/>
      <c r="O31" s="334"/>
    </row>
    <row r="32" spans="2:15" x14ac:dyDescent="0.25">
      <c r="B32" s="346">
        <v>30</v>
      </c>
      <c r="C32" s="335"/>
      <c r="D32" s="333" t="s">
        <v>227</v>
      </c>
      <c r="E32" s="334"/>
      <c r="F32" s="334"/>
      <c r="G32" s="334"/>
      <c r="H32" s="334"/>
      <c r="I32" s="334"/>
      <c r="J32" s="334"/>
      <c r="K32" s="334"/>
      <c r="L32" s="334"/>
      <c r="M32" s="334"/>
      <c r="N32" s="334"/>
      <c r="O32" s="334"/>
    </row>
    <row r="33" spans="2:15" ht="33" customHeight="1" x14ac:dyDescent="0.25">
      <c r="B33" s="346">
        <v>31</v>
      </c>
      <c r="C33" s="335"/>
      <c r="D33" s="353" t="s">
        <v>248</v>
      </c>
      <c r="E33" s="353"/>
      <c r="F33" s="353"/>
      <c r="G33" s="353"/>
      <c r="H33" s="353"/>
      <c r="I33" s="353"/>
      <c r="J33" s="353"/>
      <c r="K33" s="353"/>
      <c r="L33" s="353"/>
      <c r="M33" s="353"/>
      <c r="N33" s="353"/>
      <c r="O33" s="354"/>
    </row>
    <row r="34" spans="2:15" x14ac:dyDescent="0.25">
      <c r="B34" s="346">
        <v>32</v>
      </c>
      <c r="C34" s="335"/>
      <c r="D34" s="333" t="s">
        <v>204</v>
      </c>
      <c r="E34" s="334"/>
      <c r="F34" s="334"/>
      <c r="G34" s="334"/>
      <c r="H34" s="334"/>
      <c r="I34" s="334"/>
      <c r="J34" s="334"/>
      <c r="K34" s="334"/>
      <c r="L34" s="334"/>
      <c r="M34" s="334"/>
      <c r="N34" s="334"/>
      <c r="O34" s="334"/>
    </row>
    <row r="35" spans="2:15" x14ac:dyDescent="0.25">
      <c r="B35" s="346">
        <v>33</v>
      </c>
      <c r="C35" s="335"/>
      <c r="D35" s="333" t="s">
        <v>205</v>
      </c>
      <c r="E35" s="334"/>
      <c r="F35" s="334"/>
      <c r="G35" s="334"/>
      <c r="H35" s="334"/>
      <c r="I35" s="334"/>
      <c r="J35" s="334"/>
      <c r="K35" s="334"/>
      <c r="L35" s="334"/>
      <c r="M35" s="334"/>
      <c r="N35" s="334"/>
      <c r="O35" s="334"/>
    </row>
    <row r="36" spans="2:15" x14ac:dyDescent="0.25">
      <c r="B36" s="346">
        <v>34</v>
      </c>
      <c r="C36" s="335"/>
      <c r="D36" s="375" t="s">
        <v>206</v>
      </c>
      <c r="E36" s="375"/>
      <c r="F36" s="375"/>
      <c r="G36" s="375"/>
      <c r="H36" s="375"/>
      <c r="I36" s="375"/>
      <c r="J36" s="375"/>
      <c r="K36" s="375"/>
      <c r="L36" s="375"/>
      <c r="M36" s="375"/>
      <c r="N36" s="375"/>
      <c r="O36" s="341"/>
    </row>
    <row r="37" spans="2:15" x14ac:dyDescent="0.25">
      <c r="B37" s="346">
        <v>35</v>
      </c>
      <c r="C37" s="335"/>
      <c r="D37" s="332"/>
      <c r="E37" s="332"/>
      <c r="F37" s="332"/>
      <c r="G37" s="332"/>
      <c r="H37" s="332"/>
      <c r="I37" s="332"/>
      <c r="J37" s="332"/>
      <c r="K37" s="332"/>
      <c r="L37" s="332"/>
      <c r="M37" s="332"/>
      <c r="N37" s="332"/>
      <c r="O37" s="374"/>
    </row>
    <row r="38" spans="2:15" x14ac:dyDescent="0.25">
      <c r="B38" s="346">
        <v>36</v>
      </c>
      <c r="C38" s="335"/>
      <c r="D38" s="332"/>
      <c r="E38" s="332"/>
      <c r="F38" s="332"/>
      <c r="G38" s="332"/>
      <c r="H38" s="332"/>
      <c r="I38" s="332"/>
      <c r="J38" s="332"/>
      <c r="K38" s="332"/>
      <c r="L38" s="332"/>
      <c r="M38" s="332"/>
      <c r="N38" s="332"/>
      <c r="O38" s="374"/>
    </row>
    <row r="39" spans="2:15" x14ac:dyDescent="0.25">
      <c r="B39" s="346">
        <v>37</v>
      </c>
      <c r="C39" s="335"/>
      <c r="D39" s="376"/>
      <c r="E39" s="376"/>
      <c r="F39" s="376"/>
      <c r="G39" s="376"/>
      <c r="H39" s="376"/>
      <c r="I39" s="376"/>
      <c r="J39" s="376"/>
      <c r="K39" s="376"/>
      <c r="L39" s="376"/>
      <c r="M39" s="376"/>
      <c r="N39" s="376"/>
      <c r="O39" s="377"/>
    </row>
    <row r="40" spans="2:15" x14ac:dyDescent="0.25">
      <c r="B40" s="346">
        <v>38</v>
      </c>
      <c r="C40" s="335"/>
      <c r="D40" s="353" t="s">
        <v>190</v>
      </c>
      <c r="E40" s="353"/>
      <c r="F40" s="353"/>
      <c r="G40" s="353"/>
      <c r="H40" s="353"/>
      <c r="I40" s="353"/>
      <c r="J40" s="353"/>
      <c r="K40" s="353"/>
      <c r="L40" s="353"/>
      <c r="M40" s="353"/>
      <c r="N40" s="353"/>
      <c r="O40" s="354"/>
    </row>
    <row r="41" spans="2:15" x14ac:dyDescent="0.25">
      <c r="B41" s="346">
        <v>39</v>
      </c>
      <c r="C41" s="335"/>
      <c r="D41" s="375" t="s">
        <v>228</v>
      </c>
      <c r="E41" s="375"/>
      <c r="F41" s="375"/>
      <c r="G41" s="375"/>
      <c r="H41" s="375"/>
      <c r="I41" s="375"/>
      <c r="J41" s="375"/>
      <c r="K41" s="375"/>
      <c r="L41" s="375"/>
      <c r="M41" s="375"/>
      <c r="N41" s="375"/>
      <c r="O41" s="341"/>
    </row>
    <row r="42" spans="2:15" x14ac:dyDescent="0.25">
      <c r="B42" s="355">
        <v>40</v>
      </c>
      <c r="C42" s="356"/>
      <c r="D42" s="376" t="s">
        <v>229</v>
      </c>
      <c r="E42" s="376"/>
      <c r="F42" s="376"/>
      <c r="G42" s="376"/>
      <c r="H42" s="376"/>
      <c r="I42" s="376"/>
      <c r="J42" s="376"/>
      <c r="K42" s="376"/>
      <c r="L42" s="376"/>
      <c r="M42" s="376"/>
      <c r="N42" s="376"/>
      <c r="O42" s="377"/>
    </row>
    <row r="43" spans="2:15" x14ac:dyDescent="0.25">
      <c r="B43" s="346">
        <v>41</v>
      </c>
      <c r="C43" s="335"/>
      <c r="D43" s="351" t="s">
        <v>207</v>
      </c>
      <c r="E43" s="351"/>
      <c r="F43" s="351"/>
      <c r="G43" s="351"/>
      <c r="H43" s="351"/>
      <c r="I43" s="351"/>
      <c r="J43" s="351"/>
      <c r="K43" s="351"/>
      <c r="L43" s="351"/>
      <c r="M43" s="351"/>
      <c r="N43" s="351"/>
      <c r="O43" s="333"/>
    </row>
    <row r="44" spans="2:15" x14ac:dyDescent="0.25">
      <c r="B44" s="357">
        <v>42</v>
      </c>
      <c r="C44" s="358"/>
      <c r="D44" s="333" t="s">
        <v>190</v>
      </c>
      <c r="E44" s="334"/>
      <c r="F44" s="334"/>
      <c r="G44" s="334"/>
      <c r="H44" s="334"/>
      <c r="I44" s="334"/>
      <c r="J44" s="334"/>
      <c r="K44" s="334"/>
      <c r="L44" s="334"/>
      <c r="M44" s="334"/>
      <c r="N44" s="334"/>
      <c r="O44" s="334"/>
    </row>
    <row r="45" spans="2:15" x14ac:dyDescent="0.25">
      <c r="B45" s="346">
        <v>43</v>
      </c>
      <c r="C45" s="335"/>
      <c r="D45" s="333" t="s">
        <v>230</v>
      </c>
      <c r="E45" s="334"/>
      <c r="F45" s="334"/>
      <c r="G45" s="334"/>
      <c r="H45" s="334"/>
      <c r="I45" s="334"/>
      <c r="J45" s="334"/>
      <c r="K45" s="334"/>
      <c r="L45" s="334"/>
      <c r="M45" s="334"/>
      <c r="N45" s="334"/>
      <c r="O45" s="334"/>
    </row>
    <row r="46" spans="2:15" x14ac:dyDescent="0.25">
      <c r="B46" s="346">
        <v>44</v>
      </c>
      <c r="C46" s="335"/>
      <c r="D46" s="333" t="s">
        <v>190</v>
      </c>
      <c r="E46" s="334"/>
      <c r="F46" s="334"/>
      <c r="G46" s="334"/>
      <c r="H46" s="334"/>
      <c r="I46" s="334"/>
      <c r="J46" s="334"/>
      <c r="K46" s="334"/>
      <c r="L46" s="334"/>
      <c r="M46" s="334"/>
      <c r="N46" s="334"/>
      <c r="O46" s="334"/>
    </row>
    <row r="47" spans="2:15" x14ac:dyDescent="0.25">
      <c r="B47" s="355">
        <v>45</v>
      </c>
      <c r="C47" s="356"/>
      <c r="D47" s="333" t="s">
        <v>190</v>
      </c>
      <c r="E47" s="334"/>
      <c r="F47" s="334"/>
      <c r="G47" s="334"/>
      <c r="H47" s="334"/>
      <c r="I47" s="334"/>
      <c r="J47" s="334"/>
      <c r="K47" s="334"/>
      <c r="L47" s="334"/>
      <c r="M47" s="334"/>
      <c r="N47" s="334"/>
      <c r="O47" s="334"/>
    </row>
    <row r="48" spans="2:15" x14ac:dyDescent="0.25">
      <c r="B48" s="346">
        <v>46</v>
      </c>
      <c r="C48" s="335"/>
      <c r="D48" s="351" t="s">
        <v>190</v>
      </c>
      <c r="E48" s="351"/>
      <c r="F48" s="351"/>
      <c r="G48" s="351"/>
      <c r="H48" s="351"/>
      <c r="I48" s="351"/>
      <c r="J48" s="351"/>
      <c r="K48" s="351"/>
      <c r="L48" s="351"/>
      <c r="M48" s="351"/>
      <c r="N48" s="351"/>
      <c r="O48" s="333"/>
    </row>
    <row r="49" spans="2:15" x14ac:dyDescent="0.25">
      <c r="B49" s="357">
        <v>47</v>
      </c>
      <c r="C49" s="358"/>
      <c r="D49" s="333" t="s">
        <v>190</v>
      </c>
      <c r="E49" s="334"/>
      <c r="F49" s="334"/>
      <c r="G49" s="334"/>
      <c r="H49" s="334"/>
      <c r="I49" s="334"/>
      <c r="J49" s="334"/>
      <c r="K49" s="334"/>
      <c r="L49" s="334"/>
      <c r="M49" s="334"/>
      <c r="N49" s="334"/>
      <c r="O49" s="334"/>
    </row>
    <row r="50" spans="2:15" x14ac:dyDescent="0.25">
      <c r="B50" s="346">
        <v>48</v>
      </c>
      <c r="C50" s="335"/>
      <c r="D50" s="333" t="s">
        <v>190</v>
      </c>
      <c r="E50" s="334"/>
      <c r="F50" s="334"/>
      <c r="G50" s="334"/>
      <c r="H50" s="334"/>
      <c r="I50" s="334"/>
      <c r="J50" s="334"/>
      <c r="K50" s="334"/>
      <c r="L50" s="334"/>
      <c r="M50" s="334"/>
      <c r="N50" s="334"/>
      <c r="O50" s="334"/>
    </row>
    <row r="51" spans="2:15" x14ac:dyDescent="0.25">
      <c r="B51" s="346">
        <v>49</v>
      </c>
      <c r="C51" s="335"/>
      <c r="D51" s="333" t="s">
        <v>190</v>
      </c>
      <c r="E51" s="334"/>
      <c r="F51" s="334"/>
      <c r="G51" s="334"/>
      <c r="H51" s="334"/>
      <c r="I51" s="334"/>
      <c r="J51" s="334"/>
      <c r="K51" s="334"/>
      <c r="L51" s="334"/>
      <c r="M51" s="334"/>
      <c r="N51" s="334"/>
      <c r="O51" s="334"/>
    </row>
    <row r="52" spans="2:15" x14ac:dyDescent="0.25">
      <c r="B52" s="346">
        <v>50</v>
      </c>
      <c r="C52" s="335"/>
      <c r="D52" s="333" t="s">
        <v>190</v>
      </c>
      <c r="E52" s="334"/>
      <c r="F52" s="334"/>
      <c r="G52" s="334"/>
      <c r="H52" s="334"/>
      <c r="I52" s="334"/>
      <c r="J52" s="334"/>
      <c r="K52" s="334"/>
      <c r="L52" s="334"/>
      <c r="M52" s="334"/>
      <c r="N52" s="334"/>
      <c r="O52" s="334"/>
    </row>
    <row r="53" spans="2:15" x14ac:dyDescent="0.25">
      <c r="B53" s="346">
        <v>51</v>
      </c>
      <c r="C53" s="335"/>
      <c r="D53" s="333" t="s">
        <v>190</v>
      </c>
      <c r="E53" s="334"/>
      <c r="F53" s="334"/>
      <c r="G53" s="334"/>
      <c r="H53" s="334"/>
      <c r="I53" s="334"/>
      <c r="J53" s="334"/>
      <c r="K53" s="334"/>
      <c r="L53" s="334"/>
      <c r="M53" s="334"/>
      <c r="N53" s="334"/>
      <c r="O53" s="334"/>
    </row>
    <row r="54" spans="2:15" x14ac:dyDescent="0.25">
      <c r="B54" s="346">
        <v>52</v>
      </c>
      <c r="C54" s="335"/>
      <c r="D54" s="333" t="s">
        <v>190</v>
      </c>
      <c r="E54" s="334"/>
      <c r="F54" s="334"/>
      <c r="G54" s="334"/>
      <c r="H54" s="334"/>
      <c r="I54" s="334"/>
      <c r="J54" s="334"/>
      <c r="K54" s="334"/>
      <c r="L54" s="334"/>
      <c r="M54" s="334"/>
      <c r="N54" s="334"/>
      <c r="O54" s="334"/>
    </row>
    <row r="55" spans="2:15" x14ac:dyDescent="0.25">
      <c r="B55" s="346">
        <v>53</v>
      </c>
      <c r="C55" s="335"/>
      <c r="D55" s="333" t="s">
        <v>190</v>
      </c>
      <c r="E55" s="334"/>
      <c r="F55" s="334"/>
      <c r="G55" s="334"/>
      <c r="H55" s="334"/>
      <c r="I55" s="334"/>
      <c r="J55" s="334"/>
      <c r="K55" s="334"/>
      <c r="L55" s="334"/>
      <c r="M55" s="334"/>
      <c r="N55" s="334"/>
      <c r="O55" s="334"/>
    </row>
    <row r="56" spans="2:15" x14ac:dyDescent="0.25">
      <c r="B56" s="346">
        <v>54</v>
      </c>
      <c r="C56" s="335"/>
      <c r="D56" s="332" t="s">
        <v>208</v>
      </c>
      <c r="E56" s="332"/>
      <c r="F56" s="332"/>
      <c r="G56" s="332"/>
      <c r="H56" s="332"/>
      <c r="I56" s="332"/>
      <c r="J56" s="332"/>
      <c r="K56" s="332"/>
      <c r="L56" s="332"/>
      <c r="M56" s="332"/>
      <c r="N56" s="332"/>
      <c r="O56" s="374"/>
    </row>
    <row r="57" spans="2:15" x14ac:dyDescent="0.25">
      <c r="B57" s="346">
        <v>55</v>
      </c>
      <c r="C57" s="335"/>
      <c r="D57" s="332"/>
      <c r="E57" s="332"/>
      <c r="F57" s="332"/>
      <c r="G57" s="332"/>
      <c r="H57" s="332"/>
      <c r="I57" s="332"/>
      <c r="J57" s="332"/>
      <c r="K57" s="332"/>
      <c r="L57" s="332"/>
      <c r="M57" s="332"/>
      <c r="N57" s="332"/>
      <c r="O57" s="374"/>
    </row>
    <row r="58" spans="2:15" x14ac:dyDescent="0.25">
      <c r="B58" s="346">
        <v>56</v>
      </c>
      <c r="C58" s="335"/>
      <c r="D58" s="332"/>
      <c r="E58" s="332"/>
      <c r="F58" s="332"/>
      <c r="G58" s="332"/>
      <c r="H58" s="332"/>
      <c r="I58" s="332"/>
      <c r="J58" s="332"/>
      <c r="K58" s="332"/>
      <c r="L58" s="332"/>
      <c r="M58" s="332"/>
      <c r="N58" s="332"/>
      <c r="O58" s="374"/>
    </row>
    <row r="59" spans="2:15" x14ac:dyDescent="0.25">
      <c r="B59" s="346">
        <v>57</v>
      </c>
      <c r="C59" s="335"/>
      <c r="D59" s="332"/>
      <c r="E59" s="332"/>
      <c r="F59" s="332"/>
      <c r="G59" s="332"/>
      <c r="H59" s="332"/>
      <c r="I59" s="332"/>
      <c r="J59" s="332"/>
      <c r="K59" s="332"/>
      <c r="L59" s="332"/>
      <c r="M59" s="332"/>
      <c r="N59" s="332"/>
      <c r="O59" s="374"/>
    </row>
    <row r="60" spans="2:15" x14ac:dyDescent="0.25">
      <c r="B60" s="346">
        <v>58</v>
      </c>
      <c r="C60" s="335"/>
      <c r="D60" s="332"/>
      <c r="E60" s="332"/>
      <c r="F60" s="332"/>
      <c r="G60" s="332"/>
      <c r="H60" s="332"/>
      <c r="I60" s="332"/>
      <c r="J60" s="332"/>
      <c r="K60" s="332"/>
      <c r="L60" s="332"/>
      <c r="M60" s="332"/>
      <c r="N60" s="332"/>
      <c r="O60" s="374"/>
    </row>
    <row r="61" spans="2:15" x14ac:dyDescent="0.25">
      <c r="B61" s="346">
        <v>59</v>
      </c>
      <c r="C61" s="335"/>
      <c r="D61" s="332"/>
      <c r="E61" s="332"/>
      <c r="F61" s="332"/>
      <c r="G61" s="332"/>
      <c r="H61" s="332"/>
      <c r="I61" s="332"/>
      <c r="J61" s="332"/>
      <c r="K61" s="332"/>
      <c r="L61" s="332"/>
      <c r="M61" s="332"/>
      <c r="N61" s="332"/>
      <c r="O61" s="374"/>
    </row>
    <row r="62" spans="2:15" x14ac:dyDescent="0.25">
      <c r="B62" s="346">
        <v>60</v>
      </c>
      <c r="C62" s="335"/>
      <c r="D62" s="332"/>
      <c r="E62" s="332"/>
      <c r="F62" s="332"/>
      <c r="G62" s="332"/>
      <c r="H62" s="332"/>
      <c r="I62" s="332"/>
      <c r="J62" s="332"/>
      <c r="K62" s="332"/>
      <c r="L62" s="332"/>
      <c r="M62" s="332"/>
      <c r="N62" s="332"/>
      <c r="O62" s="374"/>
    </row>
    <row r="63" spans="2:15" x14ac:dyDescent="0.25">
      <c r="B63" s="346">
        <v>61</v>
      </c>
      <c r="C63" s="335"/>
      <c r="D63" s="332"/>
      <c r="E63" s="332"/>
      <c r="F63" s="332"/>
      <c r="G63" s="332"/>
      <c r="H63" s="332"/>
      <c r="I63" s="332"/>
      <c r="J63" s="332"/>
      <c r="K63" s="332"/>
      <c r="L63" s="332"/>
      <c r="M63" s="332"/>
      <c r="N63" s="332"/>
      <c r="O63" s="374"/>
    </row>
    <row r="64" spans="2:15" x14ac:dyDescent="0.25">
      <c r="B64" s="346">
        <v>62</v>
      </c>
      <c r="C64" s="335"/>
      <c r="D64" s="332"/>
      <c r="E64" s="332"/>
      <c r="F64" s="332"/>
      <c r="G64" s="332"/>
      <c r="H64" s="332"/>
      <c r="I64" s="332"/>
      <c r="J64" s="332"/>
      <c r="K64" s="332"/>
      <c r="L64" s="332"/>
      <c r="M64" s="332"/>
      <c r="N64" s="332"/>
      <c r="O64" s="374"/>
    </row>
    <row r="65" spans="2:15" x14ac:dyDescent="0.25">
      <c r="B65" s="346">
        <v>63</v>
      </c>
      <c r="C65" s="335"/>
      <c r="D65" s="332"/>
      <c r="E65" s="332"/>
      <c r="F65" s="332"/>
      <c r="G65" s="332"/>
      <c r="H65" s="332"/>
      <c r="I65" s="332"/>
      <c r="J65" s="332"/>
      <c r="K65" s="332"/>
      <c r="L65" s="332"/>
      <c r="M65" s="332"/>
      <c r="N65" s="332"/>
      <c r="O65" s="374"/>
    </row>
    <row r="66" spans="2:15" x14ac:dyDescent="0.25">
      <c r="B66" s="346">
        <v>64</v>
      </c>
      <c r="C66" s="335"/>
      <c r="D66" s="332"/>
      <c r="E66" s="332"/>
      <c r="F66" s="332"/>
      <c r="G66" s="332"/>
      <c r="H66" s="332"/>
      <c r="I66" s="332"/>
      <c r="J66" s="332"/>
      <c r="K66" s="332"/>
      <c r="L66" s="332"/>
      <c r="M66" s="332"/>
      <c r="N66" s="332"/>
      <c r="O66" s="374"/>
    </row>
    <row r="67" spans="2:15" x14ac:dyDescent="0.25">
      <c r="B67" s="346">
        <v>65</v>
      </c>
      <c r="C67" s="335"/>
      <c r="D67" s="332"/>
      <c r="E67" s="332"/>
      <c r="F67" s="332"/>
      <c r="G67" s="332"/>
      <c r="H67" s="332"/>
      <c r="I67" s="332"/>
      <c r="J67" s="332"/>
      <c r="K67" s="332"/>
      <c r="L67" s="332"/>
      <c r="M67" s="332"/>
      <c r="N67" s="332"/>
      <c r="O67" s="374"/>
    </row>
    <row r="68" spans="2:15" x14ac:dyDescent="0.25">
      <c r="B68" s="346">
        <v>66</v>
      </c>
      <c r="C68" s="335"/>
      <c r="D68" s="332"/>
      <c r="E68" s="332"/>
      <c r="F68" s="332"/>
      <c r="G68" s="332"/>
      <c r="H68" s="332"/>
      <c r="I68" s="332"/>
      <c r="J68" s="332"/>
      <c r="K68" s="332"/>
      <c r="L68" s="332"/>
      <c r="M68" s="332"/>
      <c r="N68" s="332"/>
      <c r="O68" s="374"/>
    </row>
    <row r="69" spans="2:15" x14ac:dyDescent="0.25">
      <c r="B69" s="346">
        <v>67</v>
      </c>
      <c r="C69" s="335"/>
      <c r="D69" s="332" t="s">
        <v>125</v>
      </c>
      <c r="E69" s="332"/>
      <c r="F69" s="332"/>
      <c r="G69" s="332"/>
      <c r="H69" s="332"/>
      <c r="I69" s="332"/>
      <c r="J69" s="332"/>
      <c r="K69" s="332"/>
      <c r="L69" s="332"/>
      <c r="M69" s="332"/>
      <c r="N69" s="332"/>
      <c r="O69" s="374"/>
    </row>
    <row r="70" spans="2:15" x14ac:dyDescent="0.25">
      <c r="B70" s="346">
        <v>68</v>
      </c>
      <c r="C70" s="335"/>
      <c r="D70" s="333" t="s">
        <v>209</v>
      </c>
      <c r="E70" s="334"/>
      <c r="F70" s="334"/>
      <c r="G70" s="334"/>
      <c r="H70" s="334"/>
      <c r="I70" s="334"/>
      <c r="J70" s="334"/>
      <c r="K70" s="334"/>
      <c r="L70" s="334"/>
      <c r="M70" s="334"/>
      <c r="N70" s="334"/>
      <c r="O70" s="334"/>
    </row>
    <row r="71" spans="2:15" x14ac:dyDescent="0.25">
      <c r="B71" s="346">
        <v>69</v>
      </c>
      <c r="C71" s="335"/>
      <c r="D71" s="333" t="s">
        <v>126</v>
      </c>
      <c r="E71" s="334"/>
      <c r="F71" s="334"/>
      <c r="G71" s="334"/>
      <c r="H71" s="334"/>
      <c r="I71" s="334"/>
      <c r="J71" s="334"/>
      <c r="K71" s="334"/>
      <c r="L71" s="334"/>
      <c r="M71" s="334"/>
      <c r="N71" s="334"/>
      <c r="O71" s="334"/>
    </row>
    <row r="72" spans="2:15" x14ac:dyDescent="0.25">
      <c r="B72" s="346">
        <v>70</v>
      </c>
      <c r="C72" s="335"/>
      <c r="D72" s="333" t="s">
        <v>127</v>
      </c>
      <c r="E72" s="334"/>
      <c r="F72" s="334"/>
      <c r="G72" s="334"/>
      <c r="H72" s="334"/>
      <c r="I72" s="334"/>
      <c r="J72" s="334"/>
      <c r="K72" s="334"/>
      <c r="L72" s="334"/>
      <c r="M72" s="334"/>
      <c r="N72" s="334"/>
      <c r="O72" s="334"/>
    </row>
    <row r="73" spans="2:15" x14ac:dyDescent="0.25">
      <c r="B73" s="346">
        <v>71</v>
      </c>
      <c r="C73" s="335"/>
      <c r="D73" s="333" t="s">
        <v>128</v>
      </c>
      <c r="E73" s="334"/>
      <c r="F73" s="334"/>
      <c r="G73" s="334"/>
      <c r="H73" s="334"/>
      <c r="I73" s="334"/>
      <c r="J73" s="334"/>
      <c r="K73" s="334"/>
      <c r="L73" s="334"/>
      <c r="M73" s="334"/>
      <c r="N73" s="334"/>
      <c r="O73" s="334"/>
    </row>
    <row r="74" spans="2:15" x14ac:dyDescent="0.25">
      <c r="B74" s="346">
        <v>72</v>
      </c>
      <c r="C74" s="335"/>
      <c r="D74" s="333" t="s">
        <v>129</v>
      </c>
      <c r="E74" s="334"/>
      <c r="F74" s="334"/>
      <c r="G74" s="334"/>
      <c r="H74" s="334"/>
      <c r="I74" s="334"/>
      <c r="J74" s="334"/>
      <c r="K74" s="334"/>
      <c r="L74" s="334"/>
      <c r="M74" s="334"/>
      <c r="N74" s="334"/>
      <c r="O74" s="334"/>
    </row>
    <row r="75" spans="2:15" x14ac:dyDescent="0.25">
      <c r="B75" s="346">
        <v>73</v>
      </c>
      <c r="C75" s="335"/>
      <c r="D75" s="333" t="s">
        <v>231</v>
      </c>
      <c r="E75" s="334"/>
      <c r="F75" s="334"/>
      <c r="G75" s="334"/>
      <c r="H75" s="334"/>
      <c r="I75" s="334"/>
      <c r="J75" s="334"/>
      <c r="K75" s="334"/>
      <c r="L75" s="334"/>
      <c r="M75" s="334"/>
      <c r="N75" s="334"/>
      <c r="O75" s="334"/>
    </row>
    <row r="76" spans="2:15" x14ac:dyDescent="0.25">
      <c r="B76" s="346">
        <v>74</v>
      </c>
      <c r="C76" s="335"/>
      <c r="D76" s="333" t="s">
        <v>130</v>
      </c>
      <c r="E76" s="334"/>
      <c r="F76" s="334"/>
      <c r="G76" s="334"/>
      <c r="H76" s="334"/>
      <c r="I76" s="334"/>
      <c r="J76" s="334"/>
      <c r="K76" s="334"/>
      <c r="L76" s="334"/>
      <c r="M76" s="334"/>
      <c r="N76" s="334"/>
      <c r="O76" s="334"/>
    </row>
    <row r="77" spans="2:15" x14ac:dyDescent="0.25">
      <c r="B77" s="346">
        <v>75</v>
      </c>
      <c r="C77" s="335"/>
      <c r="D77" s="333" t="s">
        <v>131</v>
      </c>
      <c r="E77" s="334"/>
      <c r="F77" s="334"/>
      <c r="G77" s="334"/>
      <c r="H77" s="334"/>
      <c r="I77" s="334"/>
      <c r="J77" s="334"/>
      <c r="K77" s="334"/>
      <c r="L77" s="334"/>
      <c r="M77" s="334"/>
      <c r="N77" s="334"/>
      <c r="O77" s="334"/>
    </row>
    <row r="78" spans="2:15" x14ac:dyDescent="0.25">
      <c r="B78" s="346">
        <v>76</v>
      </c>
      <c r="C78" s="335"/>
      <c r="D78" s="333" t="s">
        <v>132</v>
      </c>
      <c r="E78" s="334"/>
      <c r="F78" s="334"/>
      <c r="G78" s="334"/>
      <c r="H78" s="334"/>
      <c r="I78" s="334"/>
      <c r="J78" s="334"/>
      <c r="K78" s="334"/>
      <c r="L78" s="334"/>
      <c r="M78" s="334"/>
      <c r="N78" s="334"/>
      <c r="O78" s="334"/>
    </row>
    <row r="79" spans="2:15" x14ac:dyDescent="0.25">
      <c r="B79" s="346">
        <v>77</v>
      </c>
      <c r="C79" s="335"/>
      <c r="D79" s="333" t="s">
        <v>232</v>
      </c>
      <c r="E79" s="334"/>
      <c r="F79" s="334"/>
      <c r="G79" s="334"/>
      <c r="H79" s="334"/>
      <c r="I79" s="334"/>
      <c r="J79" s="334"/>
      <c r="K79" s="334"/>
      <c r="L79" s="334"/>
      <c r="M79" s="334"/>
      <c r="N79" s="334"/>
      <c r="O79" s="334"/>
    </row>
    <row r="80" spans="2:15" x14ac:dyDescent="0.25">
      <c r="B80" s="346">
        <v>78</v>
      </c>
      <c r="C80" s="335"/>
      <c r="D80" s="349" t="s">
        <v>190</v>
      </c>
      <c r="E80" s="350"/>
      <c r="F80" s="350"/>
      <c r="G80" s="350"/>
      <c r="H80" s="350"/>
      <c r="I80" s="350"/>
      <c r="J80" s="350"/>
      <c r="K80" s="350"/>
      <c r="L80" s="350"/>
      <c r="M80" s="350"/>
      <c r="N80" s="350"/>
      <c r="O80" s="350"/>
    </row>
    <row r="81" spans="2:15" x14ac:dyDescent="0.25">
      <c r="B81" s="346">
        <v>79</v>
      </c>
      <c r="C81" s="335"/>
      <c r="D81" s="349" t="s">
        <v>161</v>
      </c>
      <c r="E81" s="350"/>
      <c r="F81" s="350"/>
      <c r="G81" s="350"/>
      <c r="H81" s="350"/>
      <c r="I81" s="350"/>
      <c r="J81" s="350"/>
      <c r="K81" s="350"/>
      <c r="L81" s="350"/>
      <c r="M81" s="350"/>
      <c r="N81" s="350"/>
      <c r="O81" s="350"/>
    </row>
    <row r="82" spans="2:15" x14ac:dyDescent="0.25">
      <c r="B82" s="346">
        <v>80</v>
      </c>
      <c r="C82" s="335"/>
      <c r="D82" s="352" t="s">
        <v>162</v>
      </c>
      <c r="E82" s="352"/>
      <c r="F82" s="352"/>
      <c r="G82" s="352"/>
      <c r="H82" s="352"/>
      <c r="I82" s="352"/>
      <c r="J82" s="352"/>
      <c r="K82" s="352"/>
      <c r="L82" s="352"/>
      <c r="M82" s="352"/>
      <c r="N82" s="352"/>
      <c r="O82" s="349"/>
    </row>
    <row r="83" spans="2:15" x14ac:dyDescent="0.25">
      <c r="B83" s="346">
        <v>81</v>
      </c>
      <c r="C83" s="335"/>
      <c r="D83" s="351" t="s">
        <v>163</v>
      </c>
      <c r="E83" s="351"/>
      <c r="F83" s="351"/>
      <c r="G83" s="351"/>
      <c r="H83" s="351"/>
      <c r="I83" s="351"/>
      <c r="J83" s="351"/>
      <c r="K83" s="351"/>
      <c r="L83" s="351"/>
      <c r="M83" s="351"/>
      <c r="N83" s="351"/>
      <c r="O83" s="333"/>
    </row>
    <row r="84" spans="2:15" x14ac:dyDescent="0.25">
      <c r="B84" s="346">
        <v>82</v>
      </c>
      <c r="C84" s="335"/>
      <c r="D84" s="351" t="s">
        <v>164</v>
      </c>
      <c r="E84" s="351"/>
      <c r="F84" s="351"/>
      <c r="G84" s="351"/>
      <c r="H84" s="351"/>
      <c r="I84" s="351"/>
      <c r="J84" s="351"/>
      <c r="K84" s="351"/>
      <c r="L84" s="351"/>
      <c r="M84" s="351"/>
      <c r="N84" s="351"/>
      <c r="O84" s="333"/>
    </row>
    <row r="85" spans="2:15" x14ac:dyDescent="0.25">
      <c r="B85" s="346">
        <v>83</v>
      </c>
      <c r="C85" s="335"/>
      <c r="D85" s="352" t="s">
        <v>233</v>
      </c>
      <c r="E85" s="352"/>
      <c r="F85" s="352"/>
      <c r="G85" s="352"/>
      <c r="H85" s="352"/>
      <c r="I85" s="352"/>
      <c r="J85" s="352"/>
      <c r="K85" s="352"/>
      <c r="L85" s="352"/>
      <c r="M85" s="352"/>
      <c r="N85" s="352"/>
      <c r="O85" s="349"/>
    </row>
    <row r="86" spans="2:15" x14ac:dyDescent="0.25">
      <c r="B86" s="346">
        <v>84</v>
      </c>
      <c r="C86" s="335"/>
      <c r="D86" s="352" t="s">
        <v>234</v>
      </c>
      <c r="E86" s="352"/>
      <c r="F86" s="352"/>
      <c r="G86" s="352"/>
      <c r="H86" s="352"/>
      <c r="I86" s="352"/>
      <c r="J86" s="352"/>
      <c r="K86" s="352"/>
      <c r="L86" s="352"/>
      <c r="M86" s="352"/>
      <c r="N86" s="352"/>
      <c r="O86" s="349"/>
    </row>
    <row r="87" spans="2:15" x14ac:dyDescent="0.25">
      <c r="B87" s="346">
        <v>85</v>
      </c>
      <c r="C87" s="335"/>
      <c r="D87" s="333" t="s">
        <v>190</v>
      </c>
      <c r="E87" s="334"/>
      <c r="F87" s="334"/>
      <c r="G87" s="334"/>
      <c r="H87" s="334"/>
      <c r="I87" s="334"/>
      <c r="J87" s="334"/>
      <c r="K87" s="334"/>
      <c r="L87" s="334"/>
      <c r="M87" s="334"/>
      <c r="N87" s="334"/>
      <c r="O87" s="334"/>
    </row>
    <row r="88" spans="2:15" x14ac:dyDescent="0.25">
      <c r="B88" s="346">
        <v>86</v>
      </c>
      <c r="C88" s="335"/>
      <c r="D88" s="352" t="s">
        <v>165</v>
      </c>
      <c r="E88" s="352"/>
      <c r="F88" s="352"/>
      <c r="G88" s="352"/>
      <c r="H88" s="352"/>
      <c r="I88" s="352"/>
      <c r="J88" s="352"/>
      <c r="K88" s="352"/>
      <c r="L88" s="352"/>
      <c r="M88" s="352"/>
      <c r="N88" s="352"/>
      <c r="O88" s="349"/>
    </row>
    <row r="89" spans="2:15" x14ac:dyDescent="0.25">
      <c r="B89" s="346">
        <v>87</v>
      </c>
      <c r="C89" s="335"/>
      <c r="D89" s="333" t="s">
        <v>166</v>
      </c>
      <c r="E89" s="334"/>
      <c r="F89" s="334"/>
      <c r="G89" s="334"/>
      <c r="H89" s="334"/>
      <c r="I89" s="334"/>
      <c r="J89" s="334"/>
      <c r="K89" s="334"/>
      <c r="L89" s="334"/>
      <c r="M89" s="334"/>
      <c r="N89" s="334"/>
      <c r="O89" s="334"/>
    </row>
    <row r="90" spans="2:15" x14ac:dyDescent="0.25">
      <c r="B90" s="346">
        <v>88</v>
      </c>
      <c r="C90" s="335"/>
      <c r="D90" s="339" t="s">
        <v>167</v>
      </c>
      <c r="E90" s="340"/>
      <c r="F90" s="340"/>
      <c r="G90" s="340"/>
      <c r="H90" s="340"/>
      <c r="I90" s="340"/>
      <c r="J90" s="340"/>
      <c r="K90" s="340"/>
      <c r="L90" s="340"/>
      <c r="M90" s="340"/>
      <c r="N90" s="340"/>
      <c r="O90" s="340"/>
    </row>
    <row r="91" spans="2:15" x14ac:dyDescent="0.25">
      <c r="B91" s="346">
        <v>89</v>
      </c>
      <c r="C91" s="335"/>
      <c r="D91" s="339" t="s">
        <v>168</v>
      </c>
      <c r="E91" s="340"/>
      <c r="F91" s="340"/>
      <c r="G91" s="340"/>
      <c r="H91" s="340"/>
      <c r="I91" s="340"/>
      <c r="J91" s="340"/>
      <c r="K91" s="340"/>
      <c r="L91" s="340"/>
      <c r="M91" s="340"/>
      <c r="N91" s="340"/>
      <c r="O91" s="340"/>
    </row>
    <row r="92" spans="2:15" x14ac:dyDescent="0.25">
      <c r="B92" s="346">
        <v>90</v>
      </c>
      <c r="C92" s="335"/>
      <c r="D92" s="349" t="s">
        <v>169</v>
      </c>
      <c r="E92" s="350"/>
      <c r="F92" s="350"/>
      <c r="G92" s="350"/>
      <c r="H92" s="350"/>
      <c r="I92" s="350"/>
      <c r="J92" s="350"/>
      <c r="K92" s="350"/>
      <c r="L92" s="350"/>
      <c r="M92" s="350"/>
      <c r="N92" s="350"/>
      <c r="O92" s="350"/>
    </row>
    <row r="93" spans="2:15" ht="26.25" customHeight="1" x14ac:dyDescent="0.25">
      <c r="B93" s="346">
        <v>91</v>
      </c>
      <c r="C93" s="335"/>
      <c r="D93" s="333" t="s">
        <v>170</v>
      </c>
      <c r="E93" s="334"/>
      <c r="F93" s="334"/>
      <c r="G93" s="334"/>
      <c r="H93" s="334"/>
      <c r="I93" s="334"/>
      <c r="J93" s="334"/>
      <c r="K93" s="334"/>
      <c r="L93" s="334"/>
      <c r="M93" s="334"/>
      <c r="N93" s="334"/>
      <c r="O93" s="334"/>
    </row>
    <row r="94" spans="2:15" x14ac:dyDescent="0.25">
      <c r="B94" s="346">
        <v>92</v>
      </c>
      <c r="C94" s="335"/>
      <c r="D94" s="333" t="s">
        <v>190</v>
      </c>
      <c r="E94" s="334"/>
      <c r="F94" s="334"/>
      <c r="G94" s="334"/>
      <c r="H94" s="334"/>
      <c r="I94" s="334"/>
      <c r="J94" s="334"/>
      <c r="K94" s="334"/>
      <c r="L94" s="334"/>
      <c r="M94" s="334"/>
      <c r="N94" s="334"/>
      <c r="O94" s="334"/>
    </row>
    <row r="95" spans="2:15" x14ac:dyDescent="0.25">
      <c r="B95" s="346">
        <v>93</v>
      </c>
      <c r="C95" s="335"/>
      <c r="D95" s="351" t="s">
        <v>171</v>
      </c>
      <c r="E95" s="351"/>
      <c r="F95" s="351"/>
      <c r="G95" s="351"/>
      <c r="H95" s="351"/>
      <c r="I95" s="351"/>
      <c r="J95" s="351"/>
      <c r="K95" s="351"/>
      <c r="L95" s="351"/>
      <c r="M95" s="351"/>
      <c r="N95" s="351"/>
      <c r="O95" s="333"/>
    </row>
    <row r="96" spans="2:15" x14ac:dyDescent="0.25">
      <c r="B96" s="346">
        <v>94</v>
      </c>
      <c r="C96" s="335"/>
      <c r="D96" s="333" t="s">
        <v>172</v>
      </c>
      <c r="E96" s="334"/>
      <c r="F96" s="334"/>
      <c r="G96" s="334"/>
      <c r="H96" s="334"/>
      <c r="I96" s="334"/>
      <c r="J96" s="334"/>
      <c r="K96" s="334"/>
      <c r="L96" s="334"/>
      <c r="M96" s="334"/>
      <c r="N96" s="334"/>
      <c r="O96" s="334"/>
    </row>
    <row r="97" spans="2:17" x14ac:dyDescent="0.25">
      <c r="B97" s="346">
        <v>95</v>
      </c>
      <c r="C97" s="335"/>
      <c r="D97" s="333" t="s">
        <v>190</v>
      </c>
      <c r="E97" s="334"/>
      <c r="F97" s="334"/>
      <c r="G97" s="334"/>
      <c r="H97" s="334"/>
      <c r="I97" s="334"/>
      <c r="J97" s="334"/>
      <c r="K97" s="334"/>
      <c r="L97" s="334"/>
      <c r="M97" s="334"/>
      <c r="N97" s="334"/>
      <c r="O97" s="334"/>
    </row>
    <row r="98" spans="2:17" ht="15.75" thickBot="1" x14ac:dyDescent="0.3">
      <c r="B98" s="346">
        <v>96</v>
      </c>
      <c r="C98" s="335"/>
      <c r="D98" s="333" t="s">
        <v>235</v>
      </c>
      <c r="E98" s="334"/>
      <c r="F98" s="334"/>
      <c r="G98" s="334"/>
      <c r="H98" s="334"/>
      <c r="I98" s="334"/>
      <c r="J98" s="334"/>
      <c r="K98" s="334"/>
      <c r="L98" s="334"/>
      <c r="M98" s="334"/>
      <c r="N98" s="334"/>
      <c r="O98" s="334"/>
    </row>
    <row r="99" spans="2:17" ht="15.75" thickBot="1" x14ac:dyDescent="0.3">
      <c r="B99" s="346">
        <v>97</v>
      </c>
      <c r="C99" s="335"/>
      <c r="D99" s="333" t="s">
        <v>236</v>
      </c>
      <c r="E99" s="334"/>
      <c r="F99" s="334"/>
      <c r="G99" s="334"/>
      <c r="H99" s="334"/>
      <c r="I99" s="334"/>
      <c r="J99" s="334"/>
      <c r="K99" s="334"/>
      <c r="L99" s="334"/>
      <c r="M99" s="334"/>
      <c r="N99" s="334"/>
      <c r="O99" s="334"/>
      <c r="Q99" s="229"/>
    </row>
    <row r="100" spans="2:17" x14ac:dyDescent="0.25">
      <c r="B100" s="346">
        <v>98</v>
      </c>
      <c r="C100" s="335"/>
      <c r="D100" s="333" t="s">
        <v>237</v>
      </c>
      <c r="E100" s="334"/>
      <c r="F100" s="334"/>
      <c r="G100" s="334"/>
      <c r="H100" s="334"/>
      <c r="I100" s="334"/>
      <c r="J100" s="334"/>
      <c r="K100" s="334"/>
      <c r="L100" s="334"/>
      <c r="M100" s="334"/>
      <c r="N100" s="334"/>
      <c r="O100" s="334"/>
    </row>
    <row r="101" spans="2:17" x14ac:dyDescent="0.25">
      <c r="B101" s="346">
        <v>99</v>
      </c>
      <c r="C101" s="335"/>
      <c r="D101" s="333" t="s">
        <v>190</v>
      </c>
      <c r="E101" s="334"/>
      <c r="F101" s="334"/>
      <c r="G101" s="334"/>
      <c r="H101" s="334"/>
      <c r="I101" s="334"/>
      <c r="J101" s="334"/>
      <c r="K101" s="334"/>
      <c r="L101" s="334"/>
      <c r="M101" s="334"/>
      <c r="N101" s="334"/>
      <c r="O101" s="334"/>
    </row>
    <row r="102" spans="2:17" x14ac:dyDescent="0.25">
      <c r="B102" s="346">
        <v>100</v>
      </c>
      <c r="C102" s="335"/>
      <c r="D102" s="333" t="s">
        <v>210</v>
      </c>
      <c r="E102" s="334"/>
      <c r="F102" s="334"/>
      <c r="G102" s="334"/>
      <c r="H102" s="334"/>
      <c r="I102" s="334"/>
      <c r="J102" s="334"/>
      <c r="K102" s="334"/>
      <c r="L102" s="334"/>
      <c r="M102" s="334"/>
      <c r="N102" s="334"/>
      <c r="O102" s="334"/>
    </row>
    <row r="103" spans="2:17" x14ac:dyDescent="0.25">
      <c r="B103" s="346">
        <v>101</v>
      </c>
      <c r="C103" s="335"/>
      <c r="D103" s="333" t="s">
        <v>211</v>
      </c>
      <c r="E103" s="334"/>
      <c r="F103" s="334"/>
      <c r="G103" s="334"/>
      <c r="H103" s="334"/>
      <c r="I103" s="334"/>
      <c r="J103" s="334"/>
      <c r="K103" s="334"/>
      <c r="L103" s="334"/>
      <c r="M103" s="334"/>
      <c r="N103" s="334"/>
      <c r="O103" s="334"/>
    </row>
    <row r="104" spans="2:17" x14ac:dyDescent="0.25">
      <c r="B104" s="346">
        <v>102</v>
      </c>
      <c r="C104" s="335"/>
      <c r="D104" s="333" t="s">
        <v>186</v>
      </c>
      <c r="E104" s="334"/>
      <c r="F104" s="334"/>
      <c r="G104" s="334"/>
      <c r="H104" s="334"/>
      <c r="I104" s="334"/>
      <c r="J104" s="334"/>
      <c r="K104" s="334"/>
      <c r="L104" s="334"/>
      <c r="M104" s="334"/>
      <c r="N104" s="334"/>
      <c r="O104" s="334"/>
    </row>
    <row r="105" spans="2:17" x14ac:dyDescent="0.25">
      <c r="B105" s="346">
        <v>103</v>
      </c>
      <c r="C105" s="335"/>
      <c r="D105" s="333" t="s">
        <v>187</v>
      </c>
      <c r="E105" s="334"/>
      <c r="F105" s="334"/>
      <c r="G105" s="334"/>
      <c r="H105" s="334"/>
      <c r="I105" s="334"/>
      <c r="J105" s="334"/>
      <c r="K105" s="334"/>
      <c r="L105" s="334"/>
      <c r="M105" s="334"/>
      <c r="N105" s="334"/>
      <c r="O105" s="334"/>
    </row>
    <row r="106" spans="2:17" x14ac:dyDescent="0.25">
      <c r="B106" s="346">
        <v>104</v>
      </c>
      <c r="C106" s="335"/>
      <c r="D106" s="333" t="s">
        <v>188</v>
      </c>
      <c r="E106" s="334"/>
      <c r="F106" s="334"/>
      <c r="G106" s="334"/>
      <c r="H106" s="334"/>
      <c r="I106" s="334"/>
      <c r="J106" s="334"/>
      <c r="K106" s="334"/>
      <c r="L106" s="334"/>
      <c r="M106" s="334"/>
      <c r="N106" s="334"/>
      <c r="O106" s="334"/>
    </row>
    <row r="107" spans="2:17" x14ac:dyDescent="0.25">
      <c r="B107" s="346">
        <v>105</v>
      </c>
      <c r="C107" s="335"/>
      <c r="D107" s="333" t="s">
        <v>238</v>
      </c>
      <c r="E107" s="334"/>
      <c r="F107" s="334"/>
      <c r="G107" s="334"/>
      <c r="H107" s="334"/>
      <c r="I107" s="334"/>
      <c r="J107" s="334"/>
      <c r="K107" s="334"/>
      <c r="L107" s="334"/>
      <c r="M107" s="334"/>
      <c r="N107" s="334"/>
      <c r="O107" s="334"/>
    </row>
    <row r="108" spans="2:17" x14ac:dyDescent="0.25">
      <c r="B108" s="346">
        <v>106</v>
      </c>
      <c r="C108" s="335"/>
      <c r="D108" s="333" t="s">
        <v>189</v>
      </c>
      <c r="E108" s="334"/>
      <c r="F108" s="334"/>
      <c r="G108" s="334"/>
      <c r="H108" s="334"/>
      <c r="I108" s="334"/>
      <c r="J108" s="334"/>
      <c r="K108" s="334"/>
      <c r="L108" s="334"/>
      <c r="M108" s="334"/>
      <c r="N108" s="334"/>
      <c r="O108" s="334"/>
    </row>
    <row r="109" spans="2:17" x14ac:dyDescent="0.25">
      <c r="B109" s="346">
        <v>107</v>
      </c>
      <c r="C109" s="335"/>
      <c r="D109" s="339" t="s">
        <v>190</v>
      </c>
      <c r="E109" s="340"/>
      <c r="F109" s="340"/>
      <c r="G109" s="340"/>
      <c r="H109" s="340"/>
      <c r="I109" s="340"/>
      <c r="J109" s="340"/>
      <c r="K109" s="340"/>
      <c r="L109" s="340"/>
      <c r="M109" s="340"/>
      <c r="N109" s="340"/>
      <c r="O109" s="340"/>
    </row>
    <row r="110" spans="2:17" x14ac:dyDescent="0.25">
      <c r="B110" s="346">
        <v>108</v>
      </c>
      <c r="C110" s="335"/>
      <c r="D110" s="339" t="s">
        <v>190</v>
      </c>
      <c r="E110" s="340"/>
      <c r="F110" s="340"/>
      <c r="G110" s="340"/>
      <c r="H110" s="340"/>
      <c r="I110" s="340"/>
      <c r="J110" s="340"/>
      <c r="K110" s="340"/>
      <c r="L110" s="340"/>
      <c r="M110" s="340"/>
      <c r="N110" s="340"/>
      <c r="O110" s="340"/>
    </row>
    <row r="111" spans="2:17" ht="15.75" thickBot="1" x14ac:dyDescent="0.3">
      <c r="B111" s="355">
        <v>109</v>
      </c>
      <c r="C111" s="356"/>
      <c r="D111" s="341" t="s">
        <v>239</v>
      </c>
      <c r="E111" s="342"/>
      <c r="F111" s="342"/>
      <c r="G111" s="342"/>
      <c r="H111" s="342"/>
      <c r="I111" s="342"/>
      <c r="J111" s="342"/>
      <c r="K111" s="342"/>
      <c r="L111" s="342"/>
      <c r="M111" s="342"/>
      <c r="N111" s="342"/>
      <c r="O111" s="342"/>
    </row>
    <row r="112" spans="2:17" x14ac:dyDescent="0.25">
      <c r="B112" s="348">
        <v>110</v>
      </c>
      <c r="C112" s="345"/>
      <c r="D112" s="343" t="s">
        <v>191</v>
      </c>
      <c r="E112" s="344"/>
      <c r="F112" s="344"/>
      <c r="G112" s="344"/>
      <c r="H112" s="344"/>
      <c r="I112" s="344"/>
      <c r="J112" s="344"/>
      <c r="K112" s="344"/>
      <c r="L112" s="344"/>
      <c r="M112" s="344"/>
      <c r="N112" s="344"/>
      <c r="O112" s="345"/>
    </row>
    <row r="113" spans="2:15" x14ac:dyDescent="0.25">
      <c r="B113" s="346">
        <v>111</v>
      </c>
      <c r="C113" s="335"/>
      <c r="D113" s="333" t="s">
        <v>192</v>
      </c>
      <c r="E113" s="334"/>
      <c r="F113" s="334"/>
      <c r="G113" s="334"/>
      <c r="H113" s="334"/>
      <c r="I113" s="334"/>
      <c r="J113" s="334"/>
      <c r="K113" s="334"/>
      <c r="L113" s="334"/>
      <c r="M113" s="334"/>
      <c r="N113" s="334"/>
      <c r="O113" s="335"/>
    </row>
    <row r="114" spans="2:15" x14ac:dyDescent="0.25">
      <c r="B114" s="346">
        <v>112</v>
      </c>
      <c r="C114" s="335"/>
      <c r="D114" s="333" t="s">
        <v>193</v>
      </c>
      <c r="E114" s="334"/>
      <c r="F114" s="334"/>
      <c r="G114" s="334"/>
      <c r="H114" s="334"/>
      <c r="I114" s="334"/>
      <c r="J114" s="334"/>
      <c r="K114" s="334"/>
      <c r="L114" s="334"/>
      <c r="M114" s="334"/>
      <c r="N114" s="334"/>
      <c r="O114" s="335"/>
    </row>
    <row r="115" spans="2:15" x14ac:dyDescent="0.25">
      <c r="B115" s="346">
        <v>113</v>
      </c>
      <c r="C115" s="335"/>
      <c r="D115" s="333" t="s">
        <v>212</v>
      </c>
      <c r="E115" s="334"/>
      <c r="F115" s="334"/>
      <c r="G115" s="334"/>
      <c r="H115" s="334"/>
      <c r="I115" s="334"/>
      <c r="J115" s="334"/>
      <c r="K115" s="334"/>
      <c r="L115" s="334"/>
      <c r="M115" s="334"/>
      <c r="N115" s="334"/>
      <c r="O115" s="335"/>
    </row>
    <row r="116" spans="2:15" ht="15.75" thickBot="1" x14ac:dyDescent="0.3">
      <c r="B116" s="347">
        <v>114</v>
      </c>
      <c r="C116" s="338"/>
      <c r="D116" s="336" t="s">
        <v>213</v>
      </c>
      <c r="E116" s="337"/>
      <c r="F116" s="337"/>
      <c r="G116" s="337"/>
      <c r="H116" s="337"/>
      <c r="I116" s="337"/>
      <c r="J116" s="337"/>
      <c r="K116" s="337"/>
      <c r="L116" s="337"/>
      <c r="M116" s="337"/>
      <c r="N116" s="337"/>
      <c r="O116" s="338"/>
    </row>
    <row r="117" spans="2:15" x14ac:dyDescent="0.25">
      <c r="B117" s="332"/>
      <c r="C117" s="332"/>
      <c r="D117" s="332"/>
      <c r="E117" s="332"/>
      <c r="F117" s="332"/>
      <c r="G117" s="332"/>
      <c r="H117" s="332"/>
      <c r="I117" s="332"/>
      <c r="J117" s="332"/>
      <c r="K117" s="332"/>
      <c r="L117" s="332"/>
      <c r="M117" s="332"/>
      <c r="N117" s="332"/>
      <c r="O117" s="332"/>
    </row>
    <row r="118" spans="2:15" x14ac:dyDescent="0.25">
      <c r="B118" s="332"/>
      <c r="C118" s="332"/>
      <c r="D118" s="332"/>
      <c r="E118" s="332"/>
      <c r="F118" s="332"/>
      <c r="G118" s="332"/>
      <c r="H118" s="332"/>
      <c r="I118" s="332"/>
      <c r="J118" s="332"/>
      <c r="K118" s="332"/>
      <c r="L118" s="332"/>
      <c r="M118" s="332"/>
      <c r="N118" s="332"/>
      <c r="O118" s="332"/>
    </row>
    <row r="119" spans="2:15" x14ac:dyDescent="0.25">
      <c r="B119" s="332"/>
      <c r="C119" s="332"/>
      <c r="D119" s="332"/>
      <c r="E119" s="332"/>
      <c r="F119" s="332"/>
      <c r="G119" s="332"/>
      <c r="H119" s="332"/>
      <c r="I119" s="332"/>
      <c r="J119" s="332"/>
      <c r="K119" s="332"/>
      <c r="L119" s="332"/>
      <c r="M119" s="332"/>
      <c r="N119" s="332"/>
      <c r="O119" s="332"/>
    </row>
    <row r="120" spans="2:15" x14ac:dyDescent="0.25">
      <c r="B120" s="332"/>
      <c r="C120" s="332"/>
      <c r="D120" s="332"/>
      <c r="E120" s="332"/>
      <c r="F120" s="332"/>
      <c r="G120" s="332"/>
      <c r="H120" s="332"/>
      <c r="I120" s="332"/>
      <c r="J120" s="332"/>
      <c r="K120" s="332"/>
      <c r="L120" s="332"/>
      <c r="M120" s="332"/>
      <c r="N120" s="332"/>
      <c r="O120" s="332"/>
    </row>
    <row r="121" spans="2:15" x14ac:dyDescent="0.25">
      <c r="B121" s="332"/>
      <c r="C121" s="332"/>
      <c r="D121" s="332"/>
      <c r="E121" s="332"/>
      <c r="F121" s="332"/>
      <c r="G121" s="332"/>
      <c r="H121" s="332"/>
      <c r="I121" s="332"/>
      <c r="J121" s="332"/>
      <c r="K121" s="332"/>
      <c r="L121" s="332"/>
      <c r="M121" s="332"/>
      <c r="N121" s="332"/>
      <c r="O121" s="332"/>
    </row>
    <row r="122" spans="2:15" x14ac:dyDescent="0.25">
      <c r="B122" s="332"/>
      <c r="C122" s="332"/>
      <c r="D122" s="332"/>
      <c r="E122" s="332"/>
      <c r="F122" s="332"/>
      <c r="G122" s="332"/>
      <c r="H122" s="332"/>
      <c r="I122" s="332"/>
      <c r="J122" s="332"/>
      <c r="K122" s="332"/>
      <c r="L122" s="332"/>
      <c r="M122" s="332"/>
      <c r="N122" s="332"/>
      <c r="O122" s="332"/>
    </row>
    <row r="123" spans="2:15" x14ac:dyDescent="0.25">
      <c r="B123" s="332"/>
      <c r="C123" s="332"/>
      <c r="D123" s="332"/>
      <c r="E123" s="332"/>
      <c r="F123" s="332"/>
      <c r="G123" s="332"/>
      <c r="H123" s="332"/>
      <c r="I123" s="332"/>
      <c r="J123" s="332"/>
      <c r="K123" s="332"/>
      <c r="L123" s="332"/>
      <c r="M123" s="332"/>
      <c r="N123" s="332"/>
      <c r="O123" s="332"/>
    </row>
    <row r="124" spans="2:15" x14ac:dyDescent="0.25">
      <c r="B124" s="332"/>
      <c r="C124" s="332"/>
      <c r="D124" s="332"/>
      <c r="E124" s="332"/>
      <c r="F124" s="332"/>
      <c r="G124" s="332"/>
      <c r="H124" s="332"/>
      <c r="I124" s="332"/>
      <c r="J124" s="332"/>
      <c r="K124" s="332"/>
      <c r="L124" s="332"/>
      <c r="M124" s="332"/>
      <c r="N124" s="332"/>
      <c r="O124" s="332"/>
    </row>
    <row r="125" spans="2:15" x14ac:dyDescent="0.25">
      <c r="B125" s="332"/>
      <c r="C125" s="332"/>
      <c r="D125" s="332"/>
      <c r="E125" s="332"/>
      <c r="F125" s="332"/>
      <c r="G125" s="332"/>
      <c r="H125" s="332"/>
      <c r="I125" s="332"/>
      <c r="J125" s="332"/>
      <c r="K125" s="332"/>
      <c r="L125" s="332"/>
      <c r="M125" s="332"/>
      <c r="N125" s="332"/>
      <c r="O125" s="332"/>
    </row>
    <row r="126" spans="2:15" x14ac:dyDescent="0.25">
      <c r="B126" s="332"/>
      <c r="C126" s="332"/>
      <c r="D126" s="332"/>
      <c r="E126" s="332"/>
      <c r="F126" s="332"/>
      <c r="G126" s="332"/>
      <c r="H126" s="332"/>
      <c r="I126" s="332"/>
      <c r="J126" s="332"/>
      <c r="K126" s="332"/>
      <c r="L126" s="332"/>
      <c r="M126" s="332"/>
      <c r="N126" s="332"/>
      <c r="O126" s="332"/>
    </row>
    <row r="127" spans="2:15" x14ac:dyDescent="0.25">
      <c r="B127" s="332"/>
      <c r="C127" s="332"/>
      <c r="D127" s="332"/>
      <c r="E127" s="332"/>
      <c r="F127" s="332"/>
      <c r="G127" s="332"/>
      <c r="H127" s="332"/>
      <c r="I127" s="332"/>
      <c r="J127" s="332"/>
      <c r="K127" s="332"/>
      <c r="L127" s="332"/>
      <c r="M127" s="332"/>
      <c r="N127" s="332"/>
      <c r="O127" s="332"/>
    </row>
    <row r="128" spans="2:15" x14ac:dyDescent="0.25">
      <c r="B128" s="332"/>
      <c r="C128" s="332"/>
      <c r="D128" s="332"/>
      <c r="E128" s="332"/>
      <c r="F128" s="332"/>
      <c r="G128" s="332"/>
      <c r="H128" s="332"/>
      <c r="I128" s="332"/>
      <c r="J128" s="332"/>
      <c r="K128" s="332"/>
      <c r="L128" s="332"/>
      <c r="M128" s="332"/>
      <c r="N128" s="332"/>
      <c r="O128" s="332"/>
    </row>
    <row r="129" spans="2:15" x14ac:dyDescent="0.25">
      <c r="B129" s="332"/>
      <c r="C129" s="332"/>
      <c r="D129" s="332"/>
      <c r="E129" s="332"/>
      <c r="F129" s="332"/>
      <c r="G129" s="332"/>
      <c r="H129" s="332"/>
      <c r="I129" s="332"/>
      <c r="J129" s="332"/>
      <c r="K129" s="332"/>
      <c r="L129" s="332"/>
      <c r="M129" s="332"/>
      <c r="N129" s="332"/>
      <c r="O129" s="332"/>
    </row>
    <row r="130" spans="2:15" x14ac:dyDescent="0.25">
      <c r="B130" s="332"/>
      <c r="C130" s="332"/>
      <c r="D130" s="332"/>
      <c r="E130" s="332"/>
      <c r="F130" s="332"/>
      <c r="G130" s="332"/>
      <c r="H130" s="332"/>
      <c r="I130" s="332"/>
      <c r="J130" s="332"/>
      <c r="K130" s="332"/>
      <c r="L130" s="332"/>
      <c r="M130" s="332"/>
      <c r="N130" s="332"/>
      <c r="O130" s="332"/>
    </row>
    <row r="144" spans="2:15" x14ac:dyDescent="0.25">
      <c r="B144" s="99"/>
      <c r="C144" s="99"/>
      <c r="D144" s="99"/>
      <c r="E144" s="99"/>
      <c r="F144" s="99"/>
      <c r="G144" s="99"/>
      <c r="H144" s="99"/>
      <c r="I144" s="99"/>
      <c r="J144" s="99"/>
      <c r="K144" s="99"/>
      <c r="L144" s="99"/>
      <c r="M144" s="99"/>
      <c r="N144" s="99"/>
    </row>
    <row r="145" spans="2:14" x14ac:dyDescent="0.25">
      <c r="B145" s="99"/>
      <c r="C145" s="99"/>
      <c r="D145" s="99"/>
      <c r="E145" s="99"/>
      <c r="F145" s="99"/>
      <c r="G145" s="99"/>
      <c r="H145" s="99"/>
      <c r="I145" s="99"/>
      <c r="J145" s="99"/>
      <c r="K145" s="99"/>
      <c r="L145" s="99"/>
      <c r="M145" s="99"/>
      <c r="N145" s="99"/>
    </row>
    <row r="146" spans="2:14" x14ac:dyDescent="0.25">
      <c r="B146" s="99"/>
      <c r="C146" s="99"/>
      <c r="D146" s="99"/>
      <c r="E146" s="99"/>
      <c r="F146" s="99"/>
      <c r="G146" s="99"/>
      <c r="H146" s="99"/>
      <c r="I146" s="99"/>
      <c r="J146" s="99"/>
      <c r="K146" s="99"/>
      <c r="L146" s="99"/>
      <c r="M146" s="99"/>
      <c r="N146" s="99"/>
    </row>
    <row r="147" spans="2:14" x14ac:dyDescent="0.25">
      <c r="B147" s="99"/>
      <c r="C147" s="99"/>
      <c r="D147" s="99"/>
      <c r="E147" s="99"/>
      <c r="F147" s="99"/>
      <c r="G147" s="99"/>
      <c r="H147" s="99"/>
      <c r="I147" s="99"/>
      <c r="J147" s="99"/>
      <c r="K147" s="99"/>
      <c r="L147" s="99"/>
      <c r="M147" s="99"/>
      <c r="N147" s="99"/>
    </row>
    <row r="148" spans="2:14" x14ac:dyDescent="0.25">
      <c r="B148" s="99"/>
      <c r="C148" s="99"/>
      <c r="D148" s="99"/>
      <c r="E148" s="99"/>
      <c r="F148" s="99"/>
      <c r="G148" s="99"/>
      <c r="H148" s="99"/>
      <c r="I148" s="99"/>
      <c r="J148" s="99"/>
      <c r="K148" s="99"/>
      <c r="L148" s="99"/>
      <c r="M148" s="99"/>
      <c r="N148" s="99"/>
    </row>
    <row r="149" spans="2:14" x14ac:dyDescent="0.25">
      <c r="B149" s="99"/>
      <c r="C149" s="99"/>
      <c r="D149" s="99"/>
      <c r="E149" s="99"/>
      <c r="F149" s="99"/>
      <c r="G149" s="99"/>
      <c r="H149" s="99"/>
      <c r="I149" s="99"/>
      <c r="J149" s="99"/>
      <c r="K149" s="99"/>
      <c r="L149" s="99"/>
      <c r="M149" s="99"/>
      <c r="N149" s="99"/>
    </row>
    <row r="150" spans="2:14" x14ac:dyDescent="0.25">
      <c r="B150" s="99"/>
      <c r="C150" s="99"/>
      <c r="D150" s="99"/>
      <c r="E150" s="99"/>
      <c r="F150" s="99"/>
      <c r="G150" s="99"/>
      <c r="H150" s="99"/>
      <c r="I150" s="99"/>
      <c r="J150" s="99"/>
      <c r="K150" s="99"/>
      <c r="L150" s="99"/>
      <c r="M150" s="99"/>
      <c r="N150" s="99"/>
    </row>
    <row r="151" spans="2:14" x14ac:dyDescent="0.25">
      <c r="B151" s="99"/>
      <c r="C151" s="99"/>
      <c r="D151" s="99"/>
      <c r="E151" s="99"/>
      <c r="F151" s="99"/>
      <c r="G151" s="99"/>
      <c r="H151" s="99"/>
      <c r="I151" s="99"/>
      <c r="J151" s="99"/>
      <c r="K151" s="99"/>
      <c r="L151" s="99"/>
      <c r="M151" s="99"/>
      <c r="N151" s="99"/>
    </row>
    <row r="152" spans="2:14" x14ac:dyDescent="0.25">
      <c r="B152" s="99"/>
      <c r="C152" s="99"/>
      <c r="D152" s="99"/>
      <c r="E152" s="99"/>
      <c r="F152" s="99"/>
      <c r="G152" s="99"/>
      <c r="H152" s="99"/>
      <c r="I152" s="99"/>
      <c r="J152" s="99"/>
      <c r="K152" s="99"/>
      <c r="L152" s="99"/>
      <c r="M152" s="99"/>
      <c r="N152" s="99"/>
    </row>
    <row r="153" spans="2:14" x14ac:dyDescent="0.25">
      <c r="B153" s="99"/>
      <c r="C153" s="99"/>
      <c r="D153" s="99"/>
      <c r="E153" s="99"/>
      <c r="F153" s="99"/>
      <c r="G153" s="99"/>
      <c r="H153" s="99"/>
      <c r="I153" s="99"/>
      <c r="J153" s="99"/>
      <c r="K153" s="99"/>
      <c r="L153" s="99"/>
      <c r="M153" s="99"/>
      <c r="N153" s="99"/>
    </row>
    <row r="154" spans="2:14" x14ac:dyDescent="0.25">
      <c r="B154" s="99"/>
      <c r="C154" s="99"/>
      <c r="D154" s="99"/>
      <c r="E154" s="99"/>
      <c r="F154" s="99"/>
      <c r="G154" s="99"/>
      <c r="H154" s="99"/>
      <c r="I154" s="99"/>
      <c r="J154" s="99"/>
      <c r="K154" s="99"/>
      <c r="L154" s="99"/>
      <c r="M154" s="99"/>
      <c r="N154" s="99"/>
    </row>
    <row r="155" spans="2:14" x14ac:dyDescent="0.25">
      <c r="B155" s="99"/>
      <c r="C155" s="99"/>
      <c r="D155" s="99"/>
      <c r="E155" s="99"/>
      <c r="F155" s="99"/>
      <c r="G155" s="99"/>
      <c r="H155" s="99"/>
      <c r="I155" s="99"/>
      <c r="J155" s="99"/>
      <c r="K155" s="99"/>
      <c r="L155" s="99"/>
      <c r="M155" s="99"/>
      <c r="N155" s="99"/>
    </row>
    <row r="156" spans="2:14" x14ac:dyDescent="0.25">
      <c r="B156" s="99"/>
      <c r="C156" s="99"/>
      <c r="D156" s="99"/>
      <c r="E156" s="99"/>
      <c r="F156" s="99"/>
      <c r="G156" s="99"/>
      <c r="H156" s="99"/>
      <c r="I156" s="99"/>
      <c r="J156" s="99"/>
      <c r="K156" s="99"/>
      <c r="L156" s="99"/>
      <c r="M156" s="99"/>
      <c r="N156" s="99"/>
    </row>
    <row r="157" spans="2:14" x14ac:dyDescent="0.25">
      <c r="B157" s="99"/>
      <c r="C157" s="99"/>
      <c r="D157" s="99"/>
      <c r="E157" s="99"/>
      <c r="F157" s="99"/>
      <c r="G157" s="99"/>
      <c r="H157" s="99"/>
      <c r="I157" s="99"/>
      <c r="J157" s="99"/>
      <c r="K157" s="99"/>
      <c r="L157" s="99"/>
      <c r="M157" s="99"/>
      <c r="N157" s="99"/>
    </row>
    <row r="158" spans="2:14" x14ac:dyDescent="0.25">
      <c r="B158" s="99"/>
      <c r="C158" s="99"/>
      <c r="D158" s="99"/>
      <c r="E158" s="99"/>
      <c r="F158" s="99"/>
      <c r="G158" s="99"/>
      <c r="H158" s="99"/>
      <c r="I158" s="99"/>
      <c r="J158" s="99"/>
      <c r="K158" s="99"/>
      <c r="L158" s="99"/>
      <c r="M158" s="99"/>
      <c r="N158" s="99"/>
    </row>
    <row r="159" spans="2:14" x14ac:dyDescent="0.25">
      <c r="B159" s="99"/>
      <c r="C159" s="99"/>
      <c r="D159" s="99"/>
      <c r="E159" s="99"/>
      <c r="F159" s="99"/>
      <c r="G159" s="99"/>
      <c r="H159" s="99"/>
      <c r="I159" s="99"/>
      <c r="J159" s="99"/>
      <c r="K159" s="99"/>
      <c r="L159" s="99"/>
      <c r="M159" s="99"/>
      <c r="N159" s="99"/>
    </row>
    <row r="160" spans="2:14" x14ac:dyDescent="0.25">
      <c r="B160" s="99"/>
      <c r="C160" s="99"/>
      <c r="D160" s="99"/>
      <c r="E160" s="99"/>
      <c r="F160" s="99"/>
      <c r="G160" s="99"/>
      <c r="H160" s="99"/>
      <c r="I160" s="99"/>
      <c r="J160" s="99"/>
      <c r="K160" s="99"/>
      <c r="L160" s="99"/>
      <c r="M160" s="99"/>
      <c r="N160" s="99"/>
    </row>
    <row r="161" spans="2:14" x14ac:dyDescent="0.25">
      <c r="B161" s="99"/>
      <c r="C161" s="99"/>
      <c r="D161" s="99"/>
      <c r="E161" s="99"/>
      <c r="F161" s="99"/>
      <c r="G161" s="99"/>
      <c r="H161" s="99"/>
      <c r="I161" s="99"/>
      <c r="J161" s="99"/>
      <c r="K161" s="99"/>
      <c r="L161" s="99"/>
      <c r="M161" s="99"/>
      <c r="N161" s="99"/>
    </row>
    <row r="162" spans="2:14" x14ac:dyDescent="0.25">
      <c r="B162" s="99"/>
      <c r="C162" s="99"/>
      <c r="D162" s="99"/>
      <c r="E162" s="99"/>
      <c r="F162" s="99"/>
      <c r="G162" s="99"/>
      <c r="H162" s="99"/>
      <c r="I162" s="99"/>
      <c r="J162" s="99"/>
      <c r="K162" s="99"/>
      <c r="L162" s="99"/>
      <c r="M162" s="99"/>
      <c r="N162" s="99"/>
    </row>
    <row r="163" spans="2:14" x14ac:dyDescent="0.25">
      <c r="B163" s="99"/>
      <c r="C163" s="99"/>
      <c r="D163" s="99"/>
      <c r="E163" s="99"/>
      <c r="F163" s="99"/>
      <c r="G163" s="99"/>
      <c r="H163" s="99"/>
      <c r="I163" s="99"/>
      <c r="J163" s="99"/>
      <c r="K163" s="99"/>
      <c r="L163" s="99"/>
      <c r="M163" s="99"/>
      <c r="N163" s="99"/>
    </row>
    <row r="164" spans="2:14" x14ac:dyDescent="0.25">
      <c r="B164" s="99"/>
      <c r="C164" s="99"/>
      <c r="D164" s="99"/>
      <c r="E164" s="99"/>
      <c r="F164" s="99"/>
      <c r="G164" s="99"/>
      <c r="H164" s="99"/>
      <c r="I164" s="99"/>
      <c r="J164" s="99"/>
      <c r="K164" s="99"/>
      <c r="L164" s="99"/>
      <c r="M164" s="99"/>
      <c r="N164" s="99"/>
    </row>
    <row r="165" spans="2:14" x14ac:dyDescent="0.25">
      <c r="B165" s="99"/>
      <c r="C165" s="99"/>
      <c r="D165" s="99"/>
      <c r="E165" s="99"/>
      <c r="F165" s="99"/>
      <c r="G165" s="99"/>
      <c r="H165" s="99"/>
      <c r="I165" s="99"/>
      <c r="J165" s="99"/>
      <c r="K165" s="99"/>
      <c r="L165" s="99"/>
      <c r="M165" s="99"/>
      <c r="N165" s="99"/>
    </row>
    <row r="166" spans="2:14" x14ac:dyDescent="0.25">
      <c r="B166" s="99"/>
      <c r="C166" s="99"/>
      <c r="D166" s="99"/>
      <c r="E166" s="99"/>
      <c r="F166" s="99"/>
      <c r="G166" s="99"/>
      <c r="H166" s="99"/>
      <c r="I166" s="99"/>
      <c r="J166" s="99"/>
      <c r="K166" s="99"/>
      <c r="L166" s="99"/>
      <c r="M166" s="99"/>
      <c r="N166" s="99"/>
    </row>
    <row r="167" spans="2:14" x14ac:dyDescent="0.25">
      <c r="B167" s="99"/>
      <c r="C167" s="99"/>
      <c r="D167" s="99"/>
      <c r="E167" s="99"/>
      <c r="F167" s="99"/>
      <c r="G167" s="99"/>
      <c r="H167" s="99"/>
      <c r="I167" s="99"/>
      <c r="J167" s="99"/>
      <c r="K167" s="99"/>
      <c r="L167" s="99"/>
      <c r="M167" s="99"/>
      <c r="N167" s="99"/>
    </row>
    <row r="168" spans="2:14" x14ac:dyDescent="0.25">
      <c r="B168" s="99"/>
      <c r="C168" s="99"/>
      <c r="D168" s="99"/>
      <c r="E168" s="99"/>
      <c r="F168" s="99"/>
      <c r="G168" s="99"/>
      <c r="H168" s="99"/>
      <c r="I168" s="99"/>
      <c r="J168" s="99"/>
      <c r="K168" s="99"/>
      <c r="L168" s="99"/>
      <c r="M168" s="99"/>
      <c r="N168" s="99"/>
    </row>
    <row r="169" spans="2:14" x14ac:dyDescent="0.25">
      <c r="B169" s="99"/>
      <c r="C169" s="99"/>
      <c r="D169" s="99"/>
      <c r="E169" s="99"/>
      <c r="F169" s="99"/>
      <c r="G169" s="99"/>
      <c r="H169" s="99"/>
      <c r="I169" s="99"/>
      <c r="J169" s="99"/>
      <c r="K169" s="99"/>
      <c r="L169" s="99"/>
      <c r="M169" s="99"/>
      <c r="N169" s="99"/>
    </row>
    <row r="170" spans="2:14" x14ac:dyDescent="0.25">
      <c r="B170" s="99"/>
      <c r="C170" s="99"/>
      <c r="D170" s="99"/>
      <c r="E170" s="99"/>
      <c r="F170" s="99"/>
      <c r="G170" s="99"/>
      <c r="H170" s="99"/>
      <c r="I170" s="99"/>
      <c r="J170" s="99"/>
      <c r="K170" s="99"/>
      <c r="L170" s="99"/>
      <c r="M170" s="99"/>
      <c r="N170" s="99"/>
    </row>
    <row r="171" spans="2:14" x14ac:dyDescent="0.25">
      <c r="B171" s="99"/>
      <c r="C171" s="99"/>
      <c r="D171" s="99"/>
      <c r="E171" s="99"/>
      <c r="F171" s="99"/>
      <c r="G171" s="99"/>
      <c r="H171" s="99"/>
      <c r="I171" s="99"/>
      <c r="J171" s="99"/>
      <c r="K171" s="99"/>
      <c r="L171" s="99"/>
      <c r="M171" s="99"/>
      <c r="N171" s="99"/>
    </row>
    <row r="172" spans="2:14" x14ac:dyDescent="0.25">
      <c r="B172" s="99"/>
      <c r="C172" s="99"/>
      <c r="D172" s="99"/>
      <c r="E172" s="99"/>
      <c r="F172" s="99"/>
      <c r="G172" s="99"/>
      <c r="H172" s="99"/>
      <c r="I172" s="99"/>
      <c r="J172" s="99"/>
      <c r="K172" s="99"/>
      <c r="L172" s="99"/>
      <c r="M172" s="99"/>
      <c r="N172" s="99"/>
    </row>
    <row r="173" spans="2:14" x14ac:dyDescent="0.25">
      <c r="B173" s="99"/>
      <c r="C173" s="99"/>
      <c r="D173" s="99"/>
      <c r="E173" s="99"/>
      <c r="F173" s="99"/>
      <c r="G173" s="99"/>
      <c r="H173" s="99"/>
      <c r="I173" s="99"/>
      <c r="J173" s="99"/>
      <c r="K173" s="99"/>
      <c r="L173" s="99"/>
      <c r="M173" s="99"/>
      <c r="N173" s="99"/>
    </row>
    <row r="174" spans="2:14" x14ac:dyDescent="0.25">
      <c r="B174" s="99"/>
      <c r="C174" s="99"/>
      <c r="D174" s="99"/>
      <c r="E174" s="99"/>
      <c r="F174" s="99"/>
      <c r="G174" s="99"/>
      <c r="H174" s="99"/>
      <c r="I174" s="99"/>
      <c r="J174" s="99"/>
      <c r="K174" s="99"/>
      <c r="L174" s="99"/>
      <c r="M174" s="99"/>
      <c r="N174" s="99"/>
    </row>
    <row r="175" spans="2:14" x14ac:dyDescent="0.25">
      <c r="B175" s="99"/>
      <c r="C175" s="99"/>
      <c r="D175" s="99"/>
      <c r="E175" s="99"/>
      <c r="F175" s="99"/>
      <c r="G175" s="99"/>
      <c r="H175" s="99"/>
      <c r="I175" s="99"/>
      <c r="J175" s="99"/>
      <c r="K175" s="99"/>
      <c r="L175" s="99"/>
      <c r="M175" s="99"/>
      <c r="N175" s="99"/>
    </row>
    <row r="176" spans="2:14" x14ac:dyDescent="0.25">
      <c r="B176" s="99"/>
      <c r="C176" s="99"/>
      <c r="D176" s="99"/>
      <c r="E176" s="99"/>
      <c r="F176" s="99"/>
      <c r="G176" s="99"/>
      <c r="H176" s="99"/>
      <c r="I176" s="99"/>
      <c r="J176" s="99"/>
      <c r="K176" s="99"/>
      <c r="L176" s="99"/>
      <c r="M176" s="99"/>
      <c r="N176" s="99"/>
    </row>
    <row r="177" spans="2:14" x14ac:dyDescent="0.25">
      <c r="B177" s="99"/>
      <c r="C177" s="99"/>
      <c r="D177" s="99"/>
      <c r="E177" s="99"/>
      <c r="F177" s="99"/>
      <c r="G177" s="99"/>
      <c r="H177" s="99"/>
      <c r="I177" s="99"/>
      <c r="J177" s="99"/>
      <c r="K177" s="99"/>
      <c r="L177" s="99"/>
      <c r="M177" s="99"/>
      <c r="N177" s="99"/>
    </row>
    <row r="178" spans="2:14" x14ac:dyDescent="0.25">
      <c r="B178" s="99"/>
      <c r="C178" s="99"/>
      <c r="D178" s="99"/>
      <c r="E178" s="99"/>
      <c r="F178" s="99"/>
      <c r="G178" s="99"/>
      <c r="H178" s="99"/>
      <c r="I178" s="99"/>
      <c r="J178" s="99"/>
      <c r="K178" s="99"/>
      <c r="L178" s="99"/>
      <c r="M178" s="99"/>
      <c r="N178" s="99"/>
    </row>
    <row r="179" spans="2:14" x14ac:dyDescent="0.25">
      <c r="B179" s="99"/>
      <c r="C179" s="99"/>
      <c r="D179" s="99"/>
      <c r="E179" s="99"/>
      <c r="F179" s="99"/>
      <c r="G179" s="99"/>
      <c r="H179" s="99"/>
      <c r="I179" s="99"/>
      <c r="J179" s="99"/>
      <c r="K179" s="99"/>
      <c r="L179" s="99"/>
      <c r="M179" s="99"/>
      <c r="N179" s="99"/>
    </row>
    <row r="180" spans="2:14" x14ac:dyDescent="0.25">
      <c r="B180" s="99"/>
      <c r="C180" s="99"/>
      <c r="D180" s="99"/>
      <c r="E180" s="99"/>
      <c r="F180" s="99"/>
      <c r="G180" s="99"/>
      <c r="H180" s="99"/>
      <c r="I180" s="99"/>
      <c r="J180" s="99"/>
      <c r="K180" s="99"/>
      <c r="L180" s="99"/>
      <c r="M180" s="99"/>
      <c r="N180" s="99"/>
    </row>
    <row r="181" spans="2:14" x14ac:dyDescent="0.25">
      <c r="B181" s="99"/>
      <c r="C181" s="99"/>
      <c r="D181" s="99"/>
      <c r="E181" s="99"/>
      <c r="F181" s="99"/>
      <c r="G181" s="99"/>
      <c r="H181" s="99"/>
      <c r="I181" s="99"/>
      <c r="J181" s="99"/>
      <c r="K181" s="99"/>
      <c r="L181" s="99"/>
      <c r="M181" s="99"/>
      <c r="N181" s="99"/>
    </row>
    <row r="182" spans="2:14" x14ac:dyDescent="0.25">
      <c r="B182" s="99"/>
      <c r="C182" s="99"/>
      <c r="D182" s="99"/>
      <c r="E182" s="99"/>
      <c r="F182" s="99"/>
      <c r="G182" s="99"/>
      <c r="H182" s="99"/>
      <c r="I182" s="99"/>
      <c r="J182" s="99"/>
      <c r="K182" s="99"/>
      <c r="L182" s="99"/>
      <c r="M182" s="99"/>
      <c r="N182" s="99"/>
    </row>
    <row r="183" spans="2:14" x14ac:dyDescent="0.25">
      <c r="B183" s="99"/>
      <c r="C183" s="99"/>
      <c r="D183" s="99"/>
      <c r="E183" s="99"/>
      <c r="F183" s="99"/>
      <c r="G183" s="99"/>
      <c r="H183" s="99"/>
      <c r="I183" s="99"/>
      <c r="J183" s="99"/>
      <c r="K183" s="99"/>
      <c r="L183" s="99"/>
      <c r="M183" s="99"/>
      <c r="N183" s="99"/>
    </row>
    <row r="184" spans="2:14" x14ac:dyDescent="0.25">
      <c r="B184" s="99"/>
      <c r="C184" s="99"/>
      <c r="D184" s="99"/>
      <c r="E184" s="99"/>
      <c r="F184" s="99"/>
      <c r="G184" s="99"/>
      <c r="H184" s="99"/>
      <c r="I184" s="99"/>
      <c r="J184" s="99"/>
      <c r="K184" s="99"/>
      <c r="L184" s="99"/>
      <c r="M184" s="99"/>
      <c r="N184" s="99"/>
    </row>
    <row r="185" spans="2:14" x14ac:dyDescent="0.25">
      <c r="B185" s="99"/>
      <c r="C185" s="99"/>
      <c r="D185" s="99"/>
      <c r="E185" s="99"/>
      <c r="F185" s="99"/>
      <c r="G185" s="99"/>
      <c r="H185" s="99"/>
      <c r="I185" s="99"/>
      <c r="J185" s="99"/>
      <c r="K185" s="99"/>
      <c r="L185" s="99"/>
      <c r="M185" s="99"/>
      <c r="N185" s="99"/>
    </row>
    <row r="186" spans="2:14" x14ac:dyDescent="0.25">
      <c r="B186" s="99"/>
      <c r="C186" s="99"/>
      <c r="D186" s="99"/>
      <c r="E186" s="99"/>
      <c r="F186" s="99"/>
      <c r="G186" s="99"/>
      <c r="H186" s="99"/>
      <c r="I186" s="99"/>
      <c r="J186" s="99"/>
      <c r="K186" s="99"/>
      <c r="L186" s="99"/>
      <c r="M186" s="99"/>
      <c r="N186" s="99"/>
    </row>
    <row r="187" spans="2:14" x14ac:dyDescent="0.25">
      <c r="B187" s="99"/>
      <c r="C187" s="99"/>
      <c r="D187" s="99"/>
      <c r="E187" s="99"/>
      <c r="F187" s="99"/>
      <c r="G187" s="99"/>
      <c r="H187" s="99"/>
      <c r="I187" s="99"/>
      <c r="J187" s="99"/>
      <c r="K187" s="99"/>
      <c r="L187" s="99"/>
      <c r="M187" s="99"/>
      <c r="N187" s="99"/>
    </row>
    <row r="188" spans="2:14" x14ac:dyDescent="0.25">
      <c r="B188" s="99"/>
      <c r="C188" s="99"/>
      <c r="D188" s="99"/>
      <c r="E188" s="99"/>
      <c r="F188" s="99"/>
      <c r="G188" s="99"/>
      <c r="H188" s="99"/>
      <c r="I188" s="99"/>
      <c r="J188" s="99"/>
      <c r="K188" s="99"/>
      <c r="L188" s="99"/>
      <c r="M188" s="99"/>
      <c r="N188" s="99"/>
    </row>
    <row r="189" spans="2:14" x14ac:dyDescent="0.25">
      <c r="B189" s="99"/>
      <c r="C189" s="99"/>
      <c r="D189" s="99"/>
      <c r="E189" s="99"/>
      <c r="F189" s="99"/>
      <c r="G189" s="99"/>
      <c r="H189" s="99"/>
      <c r="I189" s="99"/>
      <c r="J189" s="99"/>
      <c r="K189" s="99"/>
      <c r="L189" s="99"/>
      <c r="M189" s="99"/>
      <c r="N189" s="99"/>
    </row>
    <row r="190" spans="2:14" x14ac:dyDescent="0.25">
      <c r="B190" s="99"/>
      <c r="C190" s="99"/>
      <c r="D190" s="99"/>
      <c r="E190" s="99"/>
      <c r="F190" s="99"/>
      <c r="G190" s="99"/>
      <c r="H190" s="99"/>
      <c r="I190" s="99"/>
      <c r="J190" s="99"/>
      <c r="K190" s="99"/>
      <c r="L190" s="99"/>
      <c r="M190" s="99"/>
      <c r="N190" s="99"/>
    </row>
    <row r="191" spans="2:14" x14ac:dyDescent="0.25">
      <c r="B191" s="99"/>
      <c r="C191" s="99"/>
      <c r="D191" s="99"/>
      <c r="E191" s="99"/>
      <c r="F191" s="99"/>
      <c r="G191" s="99"/>
      <c r="H191" s="99"/>
      <c r="I191" s="99"/>
      <c r="J191" s="99"/>
      <c r="K191" s="99"/>
      <c r="L191" s="99"/>
      <c r="M191" s="99"/>
      <c r="N191" s="99"/>
    </row>
    <row r="192" spans="2:14" x14ac:dyDescent="0.25">
      <c r="B192" s="99"/>
      <c r="C192" s="99"/>
      <c r="D192" s="99"/>
      <c r="E192" s="99"/>
      <c r="F192" s="99"/>
      <c r="G192" s="99"/>
      <c r="H192" s="99"/>
      <c r="I192" s="99"/>
      <c r="J192" s="99"/>
      <c r="K192" s="99"/>
      <c r="L192" s="99"/>
      <c r="M192" s="99"/>
      <c r="N192" s="99"/>
    </row>
    <row r="193" spans="2:14" x14ac:dyDescent="0.25">
      <c r="B193" s="99"/>
      <c r="C193" s="99"/>
      <c r="D193" s="99"/>
      <c r="E193" s="99"/>
      <c r="F193" s="99"/>
      <c r="G193" s="99"/>
      <c r="H193" s="99"/>
      <c r="I193" s="99"/>
      <c r="J193" s="99"/>
      <c r="K193" s="99"/>
      <c r="L193" s="99"/>
      <c r="M193" s="99"/>
      <c r="N193" s="99"/>
    </row>
    <row r="194" spans="2:14" x14ac:dyDescent="0.25">
      <c r="B194" s="99"/>
      <c r="C194" s="99"/>
      <c r="D194" s="99"/>
      <c r="E194" s="99"/>
      <c r="F194" s="99"/>
      <c r="G194" s="99"/>
      <c r="H194" s="99"/>
      <c r="I194" s="99"/>
      <c r="J194" s="99"/>
      <c r="K194" s="99"/>
      <c r="L194" s="99"/>
      <c r="M194" s="99"/>
      <c r="N194" s="99"/>
    </row>
    <row r="195" spans="2:14" x14ac:dyDescent="0.25">
      <c r="B195" s="99"/>
      <c r="C195" s="99"/>
      <c r="D195" s="99"/>
      <c r="E195" s="99"/>
      <c r="F195" s="99"/>
      <c r="G195" s="99"/>
      <c r="H195" s="99"/>
      <c r="I195" s="99"/>
      <c r="J195" s="99"/>
      <c r="K195" s="99"/>
      <c r="L195" s="99"/>
      <c r="M195" s="99"/>
      <c r="N195" s="99"/>
    </row>
    <row r="196" spans="2:14" x14ac:dyDescent="0.25">
      <c r="B196" s="99"/>
      <c r="C196" s="99"/>
      <c r="D196" s="99"/>
      <c r="E196" s="99"/>
      <c r="F196" s="99"/>
      <c r="G196" s="99"/>
      <c r="H196" s="99"/>
      <c r="I196" s="99"/>
      <c r="J196" s="99"/>
      <c r="K196" s="99"/>
      <c r="L196" s="99"/>
      <c r="M196" s="99"/>
      <c r="N196" s="99"/>
    </row>
    <row r="197" spans="2:14" x14ac:dyDescent="0.25">
      <c r="B197" s="99"/>
      <c r="C197" s="99"/>
      <c r="D197" s="99"/>
      <c r="E197" s="99"/>
      <c r="F197" s="99"/>
      <c r="G197" s="99"/>
      <c r="H197" s="99"/>
      <c r="I197" s="99"/>
      <c r="J197" s="99"/>
      <c r="K197" s="99"/>
      <c r="L197" s="99"/>
      <c r="M197" s="99"/>
      <c r="N197" s="99"/>
    </row>
    <row r="198" spans="2:14" x14ac:dyDescent="0.25">
      <c r="B198" s="99"/>
      <c r="C198" s="99"/>
      <c r="D198" s="99"/>
      <c r="E198" s="99"/>
      <c r="F198" s="99"/>
      <c r="G198" s="99"/>
      <c r="H198" s="99"/>
      <c r="I198" s="99"/>
      <c r="J198" s="99"/>
      <c r="K198" s="99"/>
      <c r="L198" s="99"/>
      <c r="M198" s="99"/>
      <c r="N198" s="99"/>
    </row>
    <row r="199" spans="2:14" x14ac:dyDescent="0.25">
      <c r="B199" s="99"/>
      <c r="C199" s="99"/>
      <c r="D199" s="99"/>
      <c r="E199" s="99"/>
      <c r="F199" s="99"/>
      <c r="G199" s="99"/>
      <c r="H199" s="99"/>
      <c r="I199" s="99"/>
      <c r="J199" s="99"/>
      <c r="K199" s="99"/>
      <c r="L199" s="99"/>
      <c r="M199" s="99"/>
      <c r="N199" s="99"/>
    </row>
    <row r="200" spans="2:14" x14ac:dyDescent="0.25">
      <c r="B200" s="99"/>
      <c r="C200" s="99"/>
      <c r="D200" s="99"/>
      <c r="E200" s="99"/>
      <c r="F200" s="99"/>
      <c r="G200" s="99"/>
      <c r="H200" s="99"/>
      <c r="I200" s="99"/>
      <c r="J200" s="99"/>
      <c r="K200" s="99"/>
      <c r="L200" s="99"/>
      <c r="M200" s="99"/>
      <c r="N200" s="99"/>
    </row>
    <row r="201" spans="2:14" x14ac:dyDescent="0.25">
      <c r="B201" s="99"/>
      <c r="C201" s="99"/>
      <c r="D201" s="99"/>
      <c r="E201" s="99"/>
      <c r="F201" s="99"/>
      <c r="G201" s="99"/>
      <c r="H201" s="99"/>
      <c r="I201" s="99"/>
      <c r="J201" s="99"/>
      <c r="K201" s="99"/>
      <c r="L201" s="99"/>
      <c r="M201" s="99"/>
      <c r="N201" s="99"/>
    </row>
    <row r="202" spans="2:14" x14ac:dyDescent="0.25">
      <c r="B202" s="99"/>
      <c r="C202" s="99"/>
      <c r="D202" s="99"/>
      <c r="E202" s="99"/>
      <c r="F202" s="99"/>
      <c r="G202" s="99"/>
      <c r="H202" s="99"/>
      <c r="I202" s="99"/>
      <c r="J202" s="99"/>
      <c r="K202" s="99"/>
      <c r="L202" s="99"/>
      <c r="M202" s="99"/>
      <c r="N202" s="99"/>
    </row>
    <row r="203" spans="2:14" x14ac:dyDescent="0.25">
      <c r="B203" s="99"/>
      <c r="C203" s="99"/>
      <c r="D203" s="99"/>
      <c r="E203" s="99"/>
      <c r="F203" s="99"/>
      <c r="G203" s="99"/>
      <c r="H203" s="99"/>
      <c r="I203" s="99"/>
      <c r="J203" s="99"/>
      <c r="K203" s="99"/>
      <c r="L203" s="99"/>
      <c r="M203" s="99"/>
      <c r="N203" s="99"/>
    </row>
    <row r="204" spans="2:14" x14ac:dyDescent="0.25">
      <c r="B204" s="99"/>
      <c r="C204" s="99"/>
      <c r="D204" s="99"/>
      <c r="E204" s="99"/>
      <c r="F204" s="99"/>
      <c r="G204" s="99"/>
      <c r="H204" s="99"/>
      <c r="I204" s="99"/>
      <c r="J204" s="99"/>
      <c r="K204" s="99"/>
      <c r="L204" s="99"/>
      <c r="M204" s="99"/>
      <c r="N204" s="99"/>
    </row>
    <row r="205" spans="2:14" x14ac:dyDescent="0.25">
      <c r="B205" s="99"/>
      <c r="C205" s="99"/>
      <c r="D205" s="99"/>
      <c r="E205" s="99"/>
      <c r="F205" s="99"/>
      <c r="G205" s="99"/>
      <c r="H205" s="99"/>
      <c r="I205" s="99"/>
      <c r="J205" s="99"/>
      <c r="K205" s="99"/>
      <c r="L205" s="99"/>
      <c r="M205" s="99"/>
      <c r="N205" s="99"/>
    </row>
    <row r="206" spans="2:14" x14ac:dyDescent="0.25">
      <c r="B206" s="99"/>
      <c r="C206" s="99"/>
      <c r="D206" s="99"/>
      <c r="E206" s="99"/>
      <c r="F206" s="99"/>
      <c r="G206" s="99"/>
      <c r="H206" s="99"/>
      <c r="I206" s="99"/>
      <c r="J206" s="99"/>
      <c r="K206" s="99"/>
      <c r="L206" s="99"/>
      <c r="M206" s="99"/>
      <c r="N206" s="99"/>
    </row>
    <row r="207" spans="2:14" x14ac:dyDescent="0.25">
      <c r="B207" s="99"/>
      <c r="C207" s="99"/>
      <c r="D207" s="99"/>
      <c r="E207" s="99"/>
      <c r="F207" s="99"/>
      <c r="G207" s="99"/>
      <c r="H207" s="99"/>
      <c r="I207" s="99"/>
      <c r="J207" s="99"/>
      <c r="K207" s="99"/>
      <c r="L207" s="99"/>
      <c r="M207" s="99"/>
      <c r="N207" s="99"/>
    </row>
    <row r="208" spans="2:14" x14ac:dyDescent="0.25">
      <c r="B208" s="99"/>
      <c r="C208" s="99"/>
      <c r="D208" s="99"/>
      <c r="E208" s="99"/>
      <c r="F208" s="99"/>
      <c r="G208" s="99"/>
      <c r="H208" s="99"/>
      <c r="I208" s="99"/>
      <c r="J208" s="99"/>
      <c r="K208" s="99"/>
      <c r="L208" s="99"/>
      <c r="M208" s="99"/>
      <c r="N208" s="99"/>
    </row>
    <row r="209" spans="2:14" x14ac:dyDescent="0.25">
      <c r="B209" s="99"/>
      <c r="C209" s="99"/>
      <c r="D209" s="99"/>
      <c r="E209" s="99"/>
      <c r="F209" s="99"/>
      <c r="G209" s="99"/>
      <c r="H209" s="99"/>
      <c r="I209" s="99"/>
      <c r="J209" s="99"/>
      <c r="K209" s="99"/>
      <c r="L209" s="99"/>
      <c r="M209" s="99"/>
      <c r="N209" s="99"/>
    </row>
    <row r="210" spans="2:14" x14ac:dyDescent="0.25">
      <c r="B210" s="99"/>
      <c r="C210" s="99"/>
      <c r="D210" s="99"/>
      <c r="E210" s="99"/>
      <c r="F210" s="99"/>
      <c r="G210" s="99"/>
      <c r="H210" s="99"/>
      <c r="I210" s="99"/>
      <c r="J210" s="99"/>
      <c r="K210" s="99"/>
      <c r="L210" s="99"/>
      <c r="M210" s="99"/>
      <c r="N210" s="99"/>
    </row>
    <row r="211" spans="2:14" x14ac:dyDescent="0.25">
      <c r="B211" s="99"/>
      <c r="C211" s="99"/>
      <c r="D211" s="99"/>
      <c r="E211" s="99"/>
      <c r="F211" s="99"/>
      <c r="G211" s="99"/>
      <c r="H211" s="99"/>
      <c r="I211" s="99"/>
      <c r="J211" s="99"/>
      <c r="K211" s="99"/>
      <c r="L211" s="99"/>
      <c r="M211" s="99"/>
      <c r="N211" s="99"/>
    </row>
    <row r="212" spans="2:14" x14ac:dyDescent="0.25">
      <c r="B212" s="99"/>
      <c r="C212" s="99"/>
      <c r="D212" s="99"/>
      <c r="E212" s="99"/>
      <c r="F212" s="99"/>
      <c r="G212" s="99"/>
      <c r="H212" s="99"/>
      <c r="I212" s="99"/>
      <c r="J212" s="99"/>
      <c r="K212" s="99"/>
      <c r="L212" s="99"/>
      <c r="M212" s="99"/>
      <c r="N212" s="99"/>
    </row>
    <row r="213" spans="2:14" x14ac:dyDescent="0.25">
      <c r="B213" s="99"/>
      <c r="C213" s="99"/>
      <c r="D213" s="99"/>
      <c r="E213" s="99"/>
      <c r="F213" s="99"/>
      <c r="G213" s="99"/>
      <c r="H213" s="99"/>
      <c r="I213" s="99"/>
      <c r="J213" s="99"/>
      <c r="K213" s="99"/>
      <c r="L213" s="99"/>
      <c r="M213" s="99"/>
      <c r="N213" s="99"/>
    </row>
    <row r="214" spans="2:14" x14ac:dyDescent="0.25">
      <c r="B214" s="99"/>
      <c r="C214" s="99"/>
      <c r="D214" s="99"/>
      <c r="E214" s="99"/>
      <c r="F214" s="99"/>
      <c r="G214" s="99"/>
      <c r="H214" s="99"/>
      <c r="I214" s="99"/>
      <c r="J214" s="99"/>
      <c r="K214" s="99"/>
      <c r="L214" s="99"/>
      <c r="M214" s="99"/>
      <c r="N214" s="99"/>
    </row>
    <row r="215" spans="2:14" x14ac:dyDescent="0.25">
      <c r="B215" s="99"/>
      <c r="C215" s="99"/>
      <c r="D215" s="99"/>
      <c r="E215" s="99"/>
      <c r="F215" s="99"/>
      <c r="G215" s="99"/>
      <c r="H215" s="99"/>
      <c r="I215" s="99"/>
      <c r="J215" s="99"/>
      <c r="K215" s="99"/>
      <c r="L215" s="99"/>
      <c r="M215" s="99"/>
      <c r="N215" s="99"/>
    </row>
    <row r="216" spans="2:14" x14ac:dyDescent="0.25">
      <c r="B216" s="99"/>
      <c r="C216" s="99"/>
      <c r="D216" s="99"/>
      <c r="E216" s="99"/>
      <c r="F216" s="99"/>
      <c r="G216" s="99"/>
      <c r="H216" s="99"/>
      <c r="I216" s="99"/>
      <c r="J216" s="99"/>
      <c r="K216" s="99"/>
      <c r="L216" s="99"/>
      <c r="M216" s="99"/>
      <c r="N216" s="99"/>
    </row>
    <row r="217" spans="2:14" x14ac:dyDescent="0.25">
      <c r="B217" s="99"/>
      <c r="C217" s="99"/>
      <c r="D217" s="99"/>
      <c r="E217" s="99"/>
      <c r="F217" s="99"/>
      <c r="G217" s="99"/>
      <c r="H217" s="99"/>
      <c r="I217" s="99"/>
      <c r="J217" s="99"/>
      <c r="K217" s="99"/>
      <c r="L217" s="99"/>
      <c r="M217" s="99"/>
      <c r="N217" s="99"/>
    </row>
    <row r="218" spans="2:14" x14ac:dyDescent="0.25">
      <c r="B218" s="99"/>
      <c r="C218" s="99"/>
      <c r="D218" s="99"/>
      <c r="E218" s="99"/>
      <c r="F218" s="99"/>
      <c r="G218" s="99"/>
      <c r="H218" s="99"/>
      <c r="I218" s="99"/>
      <c r="J218" s="99"/>
      <c r="K218" s="99"/>
      <c r="L218" s="99"/>
      <c r="M218" s="99"/>
      <c r="N218" s="99"/>
    </row>
    <row r="219" spans="2:14" x14ac:dyDescent="0.25">
      <c r="B219" s="99"/>
      <c r="C219" s="99"/>
      <c r="D219" s="99"/>
      <c r="E219" s="99"/>
      <c r="F219" s="99"/>
      <c r="G219" s="99"/>
      <c r="H219" s="99"/>
      <c r="I219" s="99"/>
      <c r="J219" s="99"/>
      <c r="K219" s="99"/>
      <c r="L219" s="99"/>
      <c r="M219" s="99"/>
      <c r="N219" s="99"/>
    </row>
    <row r="220" spans="2:14" x14ac:dyDescent="0.25">
      <c r="B220" s="99"/>
      <c r="C220" s="99"/>
      <c r="D220" s="99"/>
      <c r="E220" s="99"/>
      <c r="F220" s="99"/>
      <c r="G220" s="99"/>
      <c r="H220" s="99"/>
      <c r="I220" s="99"/>
      <c r="J220" s="99"/>
      <c r="K220" s="99"/>
      <c r="L220" s="99"/>
      <c r="M220" s="99"/>
      <c r="N220" s="99"/>
    </row>
    <row r="221" spans="2:14" x14ac:dyDescent="0.25">
      <c r="B221" s="99"/>
      <c r="C221" s="99"/>
      <c r="D221" s="99"/>
      <c r="E221" s="99"/>
      <c r="F221" s="99"/>
      <c r="G221" s="99"/>
      <c r="H221" s="99"/>
      <c r="I221" s="99"/>
      <c r="J221" s="99"/>
      <c r="K221" s="99"/>
      <c r="L221" s="99"/>
      <c r="M221" s="99"/>
      <c r="N221" s="99"/>
    </row>
    <row r="222" spans="2:14" x14ac:dyDescent="0.25">
      <c r="B222" s="99"/>
      <c r="C222" s="99"/>
      <c r="D222" s="99"/>
      <c r="E222" s="99"/>
      <c r="F222" s="99"/>
      <c r="G222" s="99"/>
      <c r="H222" s="99"/>
      <c r="I222" s="99"/>
      <c r="J222" s="99"/>
      <c r="K222" s="99"/>
      <c r="L222" s="99"/>
      <c r="M222" s="99"/>
      <c r="N222" s="99"/>
    </row>
    <row r="223" spans="2:14" x14ac:dyDescent="0.25">
      <c r="B223" s="99"/>
      <c r="C223" s="99"/>
      <c r="D223" s="99"/>
      <c r="E223" s="99"/>
      <c r="F223" s="99"/>
      <c r="G223" s="99"/>
      <c r="H223" s="99"/>
      <c r="I223" s="99"/>
      <c r="J223" s="99"/>
      <c r="K223" s="99"/>
      <c r="L223" s="99"/>
      <c r="M223" s="99"/>
      <c r="N223" s="99"/>
    </row>
    <row r="224" spans="2:14" x14ac:dyDescent="0.25">
      <c r="B224" s="99"/>
      <c r="C224" s="99"/>
      <c r="D224" s="99"/>
      <c r="E224" s="99"/>
      <c r="F224" s="99"/>
      <c r="G224" s="99"/>
      <c r="H224" s="99"/>
      <c r="I224" s="99"/>
      <c r="J224" s="99"/>
      <c r="K224" s="99"/>
      <c r="L224" s="99"/>
      <c r="M224" s="99"/>
      <c r="N224" s="99"/>
    </row>
    <row r="225" spans="2:14" x14ac:dyDescent="0.25">
      <c r="B225" s="99"/>
      <c r="C225" s="99"/>
      <c r="D225" s="99"/>
      <c r="E225" s="99"/>
      <c r="F225" s="99"/>
      <c r="G225" s="99"/>
      <c r="H225" s="99"/>
      <c r="I225" s="99"/>
      <c r="J225" s="99"/>
      <c r="K225" s="99"/>
      <c r="L225" s="99"/>
      <c r="M225" s="99"/>
      <c r="N225" s="99"/>
    </row>
    <row r="226" spans="2:14" x14ac:dyDescent="0.25">
      <c r="B226" s="99"/>
      <c r="C226" s="99"/>
      <c r="D226" s="99"/>
      <c r="E226" s="99"/>
      <c r="F226" s="99"/>
      <c r="G226" s="99"/>
      <c r="H226" s="99"/>
      <c r="I226" s="99"/>
      <c r="J226" s="99"/>
      <c r="K226" s="99"/>
      <c r="L226" s="99"/>
      <c r="M226" s="99"/>
      <c r="N226" s="99"/>
    </row>
    <row r="227" spans="2:14" x14ac:dyDescent="0.25">
      <c r="B227" s="99"/>
      <c r="C227" s="99"/>
      <c r="D227" s="99"/>
      <c r="E227" s="99"/>
      <c r="F227" s="99"/>
      <c r="G227" s="99"/>
      <c r="H227" s="99"/>
      <c r="I227" s="99"/>
      <c r="J227" s="99"/>
      <c r="K227" s="99"/>
      <c r="L227" s="99"/>
      <c r="M227" s="99"/>
      <c r="N227" s="99"/>
    </row>
    <row r="228" spans="2:14" x14ac:dyDescent="0.25">
      <c r="B228" s="99"/>
      <c r="C228" s="99"/>
      <c r="D228" s="99"/>
      <c r="E228" s="99"/>
      <c r="F228" s="99"/>
      <c r="G228" s="99"/>
      <c r="H228" s="99"/>
      <c r="I228" s="99"/>
      <c r="J228" s="99"/>
      <c r="K228" s="99"/>
      <c r="L228" s="99"/>
      <c r="M228" s="99"/>
      <c r="N228" s="99"/>
    </row>
    <row r="229" spans="2:14" x14ac:dyDescent="0.25">
      <c r="B229" s="99"/>
      <c r="C229" s="99"/>
      <c r="D229" s="99"/>
      <c r="E229" s="99"/>
      <c r="F229" s="99"/>
      <c r="G229" s="99"/>
      <c r="H229" s="99"/>
      <c r="I229" s="99"/>
      <c r="J229" s="99"/>
      <c r="K229" s="99"/>
      <c r="L229" s="99"/>
      <c r="M229" s="99"/>
      <c r="N229" s="99"/>
    </row>
    <row r="230" spans="2:14" x14ac:dyDescent="0.25">
      <c r="B230" s="99"/>
      <c r="C230" s="99"/>
      <c r="D230" s="99"/>
      <c r="E230" s="99"/>
      <c r="F230" s="99"/>
      <c r="G230" s="99"/>
      <c r="H230" s="99"/>
      <c r="I230" s="99"/>
      <c r="J230" s="99"/>
      <c r="K230" s="99"/>
      <c r="L230" s="99"/>
      <c r="M230" s="99"/>
      <c r="N230" s="99"/>
    </row>
    <row r="231" spans="2:14" x14ac:dyDescent="0.25">
      <c r="B231" s="99"/>
      <c r="C231" s="99"/>
      <c r="D231" s="99"/>
      <c r="E231" s="99"/>
      <c r="F231" s="99"/>
      <c r="G231" s="99"/>
      <c r="H231" s="99"/>
      <c r="I231" s="99"/>
      <c r="J231" s="99"/>
      <c r="K231" s="99"/>
      <c r="L231" s="99"/>
      <c r="M231" s="99"/>
      <c r="N231" s="99"/>
    </row>
    <row r="232" spans="2:14" x14ac:dyDescent="0.25">
      <c r="B232" s="99"/>
      <c r="C232" s="99"/>
      <c r="D232" s="99"/>
      <c r="E232" s="99"/>
      <c r="F232" s="99"/>
      <c r="G232" s="99"/>
      <c r="H232" s="99"/>
      <c r="I232" s="99"/>
      <c r="J232" s="99"/>
      <c r="K232" s="99"/>
      <c r="L232" s="99"/>
      <c r="M232" s="99"/>
      <c r="N232" s="99"/>
    </row>
    <row r="233" spans="2:14" x14ac:dyDescent="0.25">
      <c r="B233" s="99"/>
      <c r="C233" s="99"/>
      <c r="D233" s="99"/>
      <c r="E233" s="99"/>
      <c r="F233" s="99"/>
      <c r="G233" s="99"/>
      <c r="H233" s="99"/>
      <c r="I233" s="99"/>
      <c r="J233" s="99"/>
      <c r="K233" s="99"/>
      <c r="L233" s="99"/>
      <c r="M233" s="99"/>
      <c r="N233" s="99"/>
    </row>
    <row r="234" spans="2:14" x14ac:dyDescent="0.25">
      <c r="B234" s="99"/>
      <c r="C234" s="99"/>
      <c r="D234" s="99"/>
      <c r="E234" s="99"/>
      <c r="F234" s="99"/>
      <c r="G234" s="99"/>
      <c r="H234" s="99"/>
      <c r="I234" s="99"/>
      <c r="J234" s="99"/>
      <c r="K234" s="99"/>
      <c r="L234" s="99"/>
      <c r="M234" s="99"/>
      <c r="N234" s="99"/>
    </row>
    <row r="235" spans="2:14" x14ac:dyDescent="0.25">
      <c r="B235" s="99"/>
      <c r="C235" s="99"/>
      <c r="D235" s="99"/>
      <c r="E235" s="99"/>
      <c r="F235" s="99"/>
      <c r="G235" s="99"/>
      <c r="H235" s="99"/>
      <c r="I235" s="99"/>
      <c r="J235" s="99"/>
      <c r="K235" s="99"/>
      <c r="L235" s="99"/>
      <c r="M235" s="99"/>
      <c r="N235" s="99"/>
    </row>
    <row r="236" spans="2:14" x14ac:dyDescent="0.25">
      <c r="B236" s="99"/>
      <c r="C236" s="99"/>
      <c r="D236" s="99"/>
      <c r="E236" s="99"/>
      <c r="F236" s="99"/>
      <c r="G236" s="99"/>
      <c r="H236" s="99"/>
      <c r="I236" s="99"/>
      <c r="J236" s="99"/>
      <c r="K236" s="99"/>
      <c r="L236" s="99"/>
      <c r="M236" s="99"/>
      <c r="N236" s="99"/>
    </row>
    <row r="237" spans="2:14" x14ac:dyDescent="0.25">
      <c r="B237" s="99"/>
      <c r="C237" s="99"/>
      <c r="D237" s="99"/>
      <c r="E237" s="99"/>
      <c r="F237" s="99"/>
      <c r="G237" s="99"/>
      <c r="H237" s="99"/>
      <c r="I237" s="99"/>
      <c r="J237" s="99"/>
      <c r="K237" s="99"/>
      <c r="L237" s="99"/>
      <c r="M237" s="99"/>
      <c r="N237" s="99"/>
    </row>
    <row r="238" spans="2:14" x14ac:dyDescent="0.25">
      <c r="B238" s="99"/>
      <c r="C238" s="99"/>
      <c r="D238" s="99"/>
      <c r="E238" s="99"/>
      <c r="F238" s="99"/>
      <c r="G238" s="99"/>
      <c r="H238" s="99"/>
      <c r="I238" s="99"/>
      <c r="J238" s="99"/>
      <c r="K238" s="99"/>
      <c r="L238" s="99"/>
      <c r="M238" s="99"/>
      <c r="N238" s="99"/>
    </row>
    <row r="239" spans="2:14" x14ac:dyDescent="0.25">
      <c r="B239" s="99"/>
      <c r="C239" s="99"/>
      <c r="D239" s="99"/>
      <c r="E239" s="99"/>
      <c r="F239" s="99"/>
      <c r="G239" s="99"/>
      <c r="H239" s="99"/>
      <c r="I239" s="99"/>
      <c r="J239" s="99"/>
      <c r="K239" s="99"/>
      <c r="L239" s="99"/>
      <c r="M239" s="99"/>
      <c r="N239" s="99"/>
    </row>
    <row r="240" spans="2:14" x14ac:dyDescent="0.25">
      <c r="B240" s="99"/>
      <c r="C240" s="99"/>
      <c r="D240" s="99"/>
      <c r="E240" s="99"/>
      <c r="F240" s="99"/>
      <c r="G240" s="99"/>
      <c r="H240" s="99"/>
      <c r="I240" s="99"/>
      <c r="J240" s="99"/>
      <c r="K240" s="99"/>
      <c r="L240" s="99"/>
      <c r="M240" s="99"/>
      <c r="N240" s="99"/>
    </row>
    <row r="241" spans="2:14" x14ac:dyDescent="0.25">
      <c r="B241" s="99"/>
      <c r="C241" s="99"/>
      <c r="D241" s="99"/>
      <c r="E241" s="99"/>
      <c r="F241" s="99"/>
      <c r="G241" s="99"/>
      <c r="H241" s="99"/>
      <c r="I241" s="99"/>
      <c r="J241" s="99"/>
      <c r="K241" s="99"/>
      <c r="L241" s="99"/>
      <c r="M241" s="99"/>
      <c r="N241" s="99"/>
    </row>
    <row r="242" spans="2:14" x14ac:dyDescent="0.25">
      <c r="B242" s="99"/>
      <c r="C242" s="99"/>
      <c r="D242" s="99"/>
      <c r="E242" s="99"/>
      <c r="F242" s="99"/>
      <c r="G242" s="99"/>
      <c r="H242" s="99"/>
      <c r="I242" s="99"/>
      <c r="J242" s="99"/>
      <c r="K242" s="99"/>
      <c r="L242" s="99"/>
      <c r="M242" s="99"/>
      <c r="N242" s="99"/>
    </row>
    <row r="243" spans="2:14" x14ac:dyDescent="0.25">
      <c r="B243" s="99"/>
      <c r="C243" s="99"/>
      <c r="D243" s="99"/>
      <c r="E243" s="99"/>
      <c r="F243" s="99"/>
      <c r="G243" s="99"/>
      <c r="H243" s="99"/>
      <c r="I243" s="99"/>
      <c r="J243" s="99"/>
      <c r="K243" s="99"/>
      <c r="L243" s="99"/>
      <c r="M243" s="99"/>
      <c r="N243" s="99"/>
    </row>
    <row r="244" spans="2:14" x14ac:dyDescent="0.25">
      <c r="B244" s="99"/>
      <c r="C244" s="99"/>
      <c r="D244" s="99"/>
      <c r="E244" s="99"/>
      <c r="F244" s="99"/>
      <c r="G244" s="99"/>
      <c r="H244" s="99"/>
      <c r="I244" s="99"/>
      <c r="J244" s="99"/>
      <c r="K244" s="99"/>
      <c r="L244" s="99"/>
      <c r="M244" s="99"/>
      <c r="N244" s="99"/>
    </row>
    <row r="245" spans="2:14" x14ac:dyDescent="0.25">
      <c r="B245" s="99"/>
      <c r="C245" s="99"/>
      <c r="D245" s="99"/>
      <c r="E245" s="99"/>
      <c r="F245" s="99"/>
      <c r="G245" s="99"/>
      <c r="H245" s="99"/>
      <c r="I245" s="99"/>
      <c r="J245" s="99"/>
      <c r="K245" s="99"/>
      <c r="L245" s="99"/>
      <c r="M245" s="99"/>
      <c r="N245" s="99"/>
    </row>
    <row r="246" spans="2:14" x14ac:dyDescent="0.25">
      <c r="B246" s="99"/>
      <c r="C246" s="99"/>
      <c r="D246" s="99"/>
      <c r="E246" s="99"/>
      <c r="F246" s="99"/>
      <c r="G246" s="99"/>
      <c r="H246" s="99"/>
      <c r="I246" s="99"/>
      <c r="J246" s="99"/>
      <c r="K246" s="99"/>
      <c r="L246" s="99"/>
      <c r="M246" s="99"/>
      <c r="N246" s="99"/>
    </row>
    <row r="247" spans="2:14" x14ac:dyDescent="0.25">
      <c r="B247" s="99"/>
      <c r="C247" s="99"/>
      <c r="D247" s="99"/>
      <c r="E247" s="99"/>
      <c r="F247" s="99"/>
      <c r="G247" s="99"/>
      <c r="H247" s="99"/>
      <c r="I247" s="99"/>
      <c r="J247" s="99"/>
      <c r="K247" s="99"/>
      <c r="L247" s="99"/>
      <c r="M247" s="99"/>
      <c r="N247" s="99"/>
    </row>
    <row r="248" spans="2:14" x14ac:dyDescent="0.25">
      <c r="B248" s="99"/>
      <c r="C248" s="99"/>
      <c r="D248" s="99"/>
      <c r="E248" s="99"/>
      <c r="F248" s="99"/>
      <c r="G248" s="99"/>
      <c r="H248" s="99"/>
      <c r="I248" s="99"/>
      <c r="J248" s="99"/>
      <c r="K248" s="99"/>
      <c r="L248" s="99"/>
      <c r="M248" s="99"/>
      <c r="N248" s="99"/>
    </row>
    <row r="249" spans="2:14" x14ac:dyDescent="0.25">
      <c r="B249" s="99"/>
      <c r="C249" s="99"/>
      <c r="D249" s="99"/>
      <c r="E249" s="99"/>
      <c r="F249" s="99"/>
      <c r="G249" s="99"/>
      <c r="H249" s="99"/>
      <c r="I249" s="99"/>
      <c r="J249" s="99"/>
      <c r="K249" s="99"/>
      <c r="L249" s="99"/>
      <c r="M249" s="99"/>
      <c r="N249" s="99"/>
    </row>
    <row r="250" spans="2:14" x14ac:dyDescent="0.25">
      <c r="B250" s="99"/>
      <c r="C250" s="99"/>
      <c r="D250" s="99"/>
      <c r="E250" s="99"/>
      <c r="F250" s="99"/>
      <c r="G250" s="99"/>
      <c r="H250" s="99"/>
      <c r="I250" s="99"/>
      <c r="J250" s="99"/>
      <c r="K250" s="99"/>
      <c r="L250" s="99"/>
      <c r="M250" s="99"/>
      <c r="N250" s="99"/>
    </row>
    <row r="251" spans="2:14" x14ac:dyDescent="0.25">
      <c r="B251" s="99"/>
      <c r="C251" s="99"/>
      <c r="D251" s="99"/>
      <c r="E251" s="99"/>
      <c r="F251" s="99"/>
      <c r="G251" s="99"/>
      <c r="H251" s="99"/>
      <c r="I251" s="99"/>
      <c r="J251" s="99"/>
      <c r="K251" s="99"/>
      <c r="L251" s="99"/>
      <c r="M251" s="99"/>
      <c r="N251" s="99"/>
    </row>
    <row r="252" spans="2:14" x14ac:dyDescent="0.25">
      <c r="B252" s="99"/>
      <c r="C252" s="99"/>
      <c r="D252" s="99"/>
      <c r="E252" s="99"/>
      <c r="F252" s="99"/>
      <c r="G252" s="99"/>
      <c r="H252" s="99"/>
      <c r="I252" s="99"/>
      <c r="J252" s="99"/>
      <c r="K252" s="99"/>
      <c r="L252" s="99"/>
      <c r="M252" s="99"/>
      <c r="N252" s="99"/>
    </row>
    <row r="253" spans="2:14" x14ac:dyDescent="0.25">
      <c r="B253" s="99"/>
      <c r="C253" s="99"/>
      <c r="D253" s="99"/>
      <c r="E253" s="99"/>
      <c r="F253" s="99"/>
      <c r="G253" s="99"/>
      <c r="H253" s="99"/>
      <c r="I253" s="99"/>
      <c r="J253" s="99"/>
      <c r="K253" s="99"/>
      <c r="L253" s="99"/>
      <c r="M253" s="99"/>
      <c r="N253" s="99"/>
    </row>
    <row r="254" spans="2:14" x14ac:dyDescent="0.25">
      <c r="B254" s="99"/>
      <c r="C254" s="99"/>
      <c r="D254" s="99"/>
      <c r="E254" s="99"/>
      <c r="F254" s="99"/>
      <c r="G254" s="99"/>
      <c r="H254" s="99"/>
      <c r="I254" s="99"/>
      <c r="J254" s="99"/>
      <c r="K254" s="99"/>
      <c r="L254" s="99"/>
      <c r="M254" s="99"/>
      <c r="N254" s="99"/>
    </row>
    <row r="255" spans="2:14" x14ac:dyDescent="0.25">
      <c r="B255" s="99"/>
      <c r="C255" s="99"/>
      <c r="D255" s="99"/>
      <c r="E255" s="99"/>
      <c r="F255" s="99"/>
      <c r="G255" s="99"/>
      <c r="H255" s="99"/>
      <c r="I255" s="99"/>
      <c r="J255" s="99"/>
      <c r="K255" s="99"/>
      <c r="L255" s="99"/>
      <c r="M255" s="99"/>
      <c r="N255" s="99"/>
    </row>
    <row r="256" spans="2:14" x14ac:dyDescent="0.25">
      <c r="B256" s="99"/>
      <c r="C256" s="99"/>
      <c r="D256" s="99"/>
      <c r="E256" s="99"/>
      <c r="F256" s="99"/>
      <c r="G256" s="99"/>
      <c r="H256" s="99"/>
      <c r="I256" s="99"/>
      <c r="J256" s="99"/>
      <c r="K256" s="99"/>
      <c r="L256" s="99"/>
      <c r="M256" s="99"/>
      <c r="N256" s="99"/>
    </row>
    <row r="257" spans="2:14" x14ac:dyDescent="0.25">
      <c r="B257" s="99"/>
      <c r="C257" s="99"/>
      <c r="D257" s="99"/>
      <c r="E257" s="99"/>
      <c r="F257" s="99"/>
      <c r="G257" s="99"/>
      <c r="H257" s="99"/>
      <c r="I257" s="99"/>
      <c r="J257" s="99"/>
      <c r="K257" s="99"/>
      <c r="L257" s="99"/>
      <c r="M257" s="99"/>
      <c r="N257" s="99"/>
    </row>
    <row r="258" spans="2:14" x14ac:dyDescent="0.25">
      <c r="B258" s="99"/>
      <c r="C258" s="99"/>
      <c r="D258" s="99"/>
      <c r="E258" s="99"/>
      <c r="F258" s="99"/>
      <c r="G258" s="99"/>
      <c r="H258" s="99"/>
      <c r="I258" s="99"/>
      <c r="J258" s="99"/>
      <c r="K258" s="99"/>
      <c r="L258" s="99"/>
      <c r="M258" s="99"/>
      <c r="N258" s="99"/>
    </row>
    <row r="259" spans="2:14" x14ac:dyDescent="0.25">
      <c r="B259" s="99"/>
      <c r="C259" s="99"/>
      <c r="D259" s="99"/>
      <c r="E259" s="99"/>
      <c r="F259" s="99"/>
      <c r="G259" s="99"/>
      <c r="H259" s="99"/>
      <c r="I259" s="99"/>
      <c r="J259" s="99"/>
      <c r="K259" s="99"/>
      <c r="L259" s="99"/>
      <c r="M259" s="99"/>
      <c r="N259" s="99"/>
    </row>
    <row r="260" spans="2:14" x14ac:dyDescent="0.25">
      <c r="B260" s="99"/>
      <c r="C260" s="99"/>
      <c r="D260" s="99"/>
      <c r="E260" s="99"/>
      <c r="F260" s="99"/>
      <c r="G260" s="99"/>
      <c r="H260" s="99"/>
      <c r="I260" s="99"/>
      <c r="J260" s="99"/>
      <c r="K260" s="99"/>
      <c r="L260" s="99"/>
      <c r="M260" s="99"/>
      <c r="N260" s="99"/>
    </row>
    <row r="261" spans="2:14" x14ac:dyDescent="0.25">
      <c r="B261" s="99"/>
      <c r="C261" s="99"/>
      <c r="D261" s="99"/>
      <c r="E261" s="99"/>
      <c r="F261" s="99"/>
      <c r="G261" s="99"/>
      <c r="H261" s="99"/>
      <c r="I261" s="99"/>
      <c r="J261" s="99"/>
      <c r="K261" s="99"/>
      <c r="L261" s="99"/>
      <c r="M261" s="99"/>
      <c r="N261" s="99"/>
    </row>
    <row r="262" spans="2:14" x14ac:dyDescent="0.25">
      <c r="B262" s="99"/>
      <c r="C262" s="99"/>
      <c r="D262" s="99"/>
      <c r="E262" s="99"/>
      <c r="F262" s="99"/>
      <c r="G262" s="99"/>
      <c r="H262" s="99"/>
      <c r="I262" s="99"/>
      <c r="J262" s="99"/>
      <c r="K262" s="99"/>
      <c r="L262" s="99"/>
      <c r="M262" s="99"/>
      <c r="N262" s="99"/>
    </row>
    <row r="263" spans="2:14" x14ac:dyDescent="0.25">
      <c r="B263" s="99"/>
      <c r="C263" s="99"/>
      <c r="D263" s="99"/>
      <c r="E263" s="99"/>
      <c r="F263" s="99"/>
      <c r="G263" s="99"/>
      <c r="H263" s="99"/>
      <c r="I263" s="99"/>
      <c r="J263" s="99"/>
      <c r="K263" s="99"/>
      <c r="L263" s="99"/>
      <c r="M263" s="99"/>
      <c r="N263" s="99"/>
    </row>
    <row r="264" spans="2:14" x14ac:dyDescent="0.25">
      <c r="B264" s="99"/>
      <c r="C264" s="99"/>
      <c r="D264" s="99"/>
      <c r="E264" s="99"/>
      <c r="F264" s="99"/>
      <c r="G264" s="99"/>
      <c r="H264" s="99"/>
      <c r="I264" s="99"/>
      <c r="J264" s="99"/>
      <c r="K264" s="99"/>
      <c r="L264" s="99"/>
      <c r="M264" s="99"/>
      <c r="N264" s="99"/>
    </row>
    <row r="265" spans="2:14" x14ac:dyDescent="0.25">
      <c r="B265" s="99"/>
      <c r="C265" s="99"/>
      <c r="D265" s="99"/>
      <c r="E265" s="99"/>
      <c r="F265" s="99"/>
      <c r="G265" s="99"/>
      <c r="H265" s="99"/>
      <c r="I265" s="99"/>
      <c r="J265" s="99"/>
      <c r="K265" s="99"/>
      <c r="L265" s="99"/>
      <c r="M265" s="99"/>
      <c r="N265" s="99"/>
    </row>
    <row r="266" spans="2:14" x14ac:dyDescent="0.25">
      <c r="B266" s="99"/>
      <c r="C266" s="99"/>
      <c r="D266" s="99"/>
      <c r="E266" s="99"/>
      <c r="F266" s="99"/>
      <c r="G266" s="99"/>
      <c r="H266" s="99"/>
      <c r="I266" s="99"/>
      <c r="J266" s="99"/>
      <c r="K266" s="99"/>
      <c r="L266" s="99"/>
      <c r="M266" s="99"/>
      <c r="N266" s="99"/>
    </row>
    <row r="267" spans="2:14" x14ac:dyDescent="0.25">
      <c r="B267" s="99"/>
      <c r="C267" s="99"/>
      <c r="D267" s="99"/>
      <c r="E267" s="99"/>
      <c r="F267" s="99"/>
      <c r="G267" s="99"/>
      <c r="H267" s="99"/>
      <c r="I267" s="99"/>
      <c r="J267" s="99"/>
      <c r="K267" s="99"/>
      <c r="L267" s="99"/>
      <c r="M267" s="99"/>
      <c r="N267" s="99"/>
    </row>
    <row r="268" spans="2:14" x14ac:dyDescent="0.25">
      <c r="B268" s="99"/>
      <c r="C268" s="99"/>
      <c r="D268" s="99"/>
      <c r="E268" s="99"/>
      <c r="F268" s="99"/>
      <c r="G268" s="99"/>
      <c r="H268" s="99"/>
      <c r="I268" s="99"/>
      <c r="J268" s="99"/>
      <c r="K268" s="99"/>
      <c r="L268" s="99"/>
      <c r="M268" s="99"/>
      <c r="N268" s="99"/>
    </row>
    <row r="269" spans="2:14" x14ac:dyDescent="0.25">
      <c r="B269" s="99"/>
      <c r="C269" s="99"/>
      <c r="D269" s="99"/>
      <c r="E269" s="99"/>
      <c r="F269" s="99"/>
      <c r="G269" s="99"/>
      <c r="H269" s="99"/>
      <c r="I269" s="99"/>
      <c r="J269" s="99"/>
      <c r="K269" s="99"/>
      <c r="L269" s="99"/>
      <c r="M269" s="99"/>
      <c r="N269" s="99"/>
    </row>
    <row r="270" spans="2:14" x14ac:dyDescent="0.25">
      <c r="B270" s="99"/>
      <c r="C270" s="99"/>
      <c r="D270" s="99"/>
      <c r="E270" s="99"/>
      <c r="F270" s="99"/>
      <c r="G270" s="99"/>
      <c r="H270" s="99"/>
      <c r="I270" s="99"/>
      <c r="J270" s="99"/>
      <c r="K270" s="99"/>
      <c r="L270" s="99"/>
      <c r="M270" s="99"/>
      <c r="N270" s="99"/>
    </row>
    <row r="271" spans="2:14" x14ac:dyDescent="0.25">
      <c r="B271" s="99"/>
      <c r="C271" s="99"/>
      <c r="D271" s="99"/>
      <c r="E271" s="99"/>
      <c r="F271" s="99"/>
      <c r="G271" s="99"/>
      <c r="H271" s="99"/>
      <c r="I271" s="99"/>
      <c r="J271" s="99"/>
      <c r="K271" s="99"/>
      <c r="L271" s="99"/>
      <c r="M271" s="99"/>
      <c r="N271" s="99"/>
    </row>
    <row r="272" spans="2:14" x14ac:dyDescent="0.25">
      <c r="B272" s="99"/>
      <c r="C272" s="99"/>
      <c r="D272" s="99"/>
      <c r="E272" s="99"/>
      <c r="F272" s="99"/>
      <c r="G272" s="99"/>
      <c r="H272" s="99"/>
      <c r="I272" s="99"/>
      <c r="J272" s="99"/>
      <c r="K272" s="99"/>
      <c r="L272" s="99"/>
      <c r="M272" s="99"/>
      <c r="N272" s="99"/>
    </row>
    <row r="273" spans="2:14" x14ac:dyDescent="0.25">
      <c r="B273" s="99"/>
      <c r="C273" s="99"/>
      <c r="D273" s="99"/>
      <c r="E273" s="99"/>
      <c r="F273" s="99"/>
      <c r="G273" s="99"/>
      <c r="H273" s="99"/>
      <c r="I273" s="99"/>
      <c r="J273" s="99"/>
      <c r="K273" s="99"/>
      <c r="L273" s="99"/>
      <c r="M273" s="99"/>
      <c r="N273" s="99"/>
    </row>
    <row r="274" spans="2:14" x14ac:dyDescent="0.25">
      <c r="B274" s="99"/>
      <c r="C274" s="99"/>
      <c r="D274" s="99"/>
      <c r="E274" s="99"/>
      <c r="F274" s="99"/>
      <c r="G274" s="99"/>
      <c r="H274" s="99"/>
      <c r="I274" s="99"/>
      <c r="J274" s="99"/>
      <c r="K274" s="99"/>
      <c r="L274" s="99"/>
      <c r="M274" s="99"/>
      <c r="N274" s="99"/>
    </row>
    <row r="275" spans="2:14" x14ac:dyDescent="0.25">
      <c r="B275" s="99"/>
      <c r="C275" s="99"/>
      <c r="D275" s="99"/>
      <c r="E275" s="99"/>
      <c r="F275" s="99"/>
      <c r="G275" s="99"/>
      <c r="H275" s="99"/>
      <c r="I275" s="99"/>
      <c r="J275" s="99"/>
      <c r="K275" s="99"/>
      <c r="L275" s="99"/>
      <c r="M275" s="99"/>
      <c r="N275" s="99"/>
    </row>
    <row r="276" spans="2:14" x14ac:dyDescent="0.25">
      <c r="B276" s="99"/>
      <c r="C276" s="99"/>
      <c r="D276" s="99"/>
      <c r="E276" s="99"/>
      <c r="F276" s="99"/>
      <c r="G276" s="99"/>
      <c r="H276" s="99"/>
      <c r="I276" s="99"/>
      <c r="J276" s="99"/>
      <c r="K276" s="99"/>
      <c r="L276" s="99"/>
      <c r="M276" s="99"/>
      <c r="N276" s="99"/>
    </row>
    <row r="277" spans="2:14" x14ac:dyDescent="0.25">
      <c r="B277" s="99"/>
      <c r="C277" s="99"/>
      <c r="D277" s="99"/>
      <c r="E277" s="99"/>
      <c r="F277" s="99"/>
      <c r="G277" s="99"/>
      <c r="H277" s="99"/>
      <c r="I277" s="99"/>
      <c r="J277" s="99"/>
      <c r="K277" s="99"/>
      <c r="L277" s="99"/>
      <c r="M277" s="99"/>
      <c r="N277" s="99"/>
    </row>
    <row r="278" spans="2:14" x14ac:dyDescent="0.25">
      <c r="B278" s="99"/>
      <c r="C278" s="99"/>
      <c r="D278" s="99"/>
      <c r="E278" s="99"/>
      <c r="F278" s="99"/>
      <c r="G278" s="99"/>
      <c r="H278" s="99"/>
      <c r="I278" s="99"/>
      <c r="J278" s="99"/>
      <c r="K278" s="99"/>
      <c r="L278" s="99"/>
      <c r="M278" s="99"/>
      <c r="N278" s="99"/>
    </row>
    <row r="279" spans="2:14" x14ac:dyDescent="0.25">
      <c r="B279" s="99"/>
      <c r="C279" s="99"/>
      <c r="D279" s="99"/>
      <c r="E279" s="99"/>
      <c r="F279" s="99"/>
      <c r="G279" s="99"/>
      <c r="H279" s="99"/>
      <c r="I279" s="99"/>
      <c r="J279" s="99"/>
      <c r="K279" s="99"/>
      <c r="L279" s="99"/>
      <c r="M279" s="99"/>
      <c r="N279" s="99"/>
    </row>
    <row r="280" spans="2:14" x14ac:dyDescent="0.25">
      <c r="B280" s="99"/>
      <c r="C280" s="99"/>
      <c r="D280" s="99"/>
      <c r="E280" s="99"/>
      <c r="F280" s="99"/>
      <c r="G280" s="99"/>
      <c r="H280" s="99"/>
      <c r="I280" s="99"/>
      <c r="J280" s="99"/>
      <c r="K280" s="99"/>
      <c r="L280" s="99"/>
      <c r="M280" s="99"/>
      <c r="N280" s="99"/>
    </row>
    <row r="281" spans="2:14" x14ac:dyDescent="0.25">
      <c r="B281" s="99"/>
      <c r="C281" s="99"/>
      <c r="D281" s="99"/>
      <c r="E281" s="99"/>
      <c r="F281" s="99"/>
      <c r="G281" s="99"/>
      <c r="H281" s="99"/>
      <c r="I281" s="99"/>
      <c r="J281" s="99"/>
      <c r="K281" s="99"/>
      <c r="L281" s="99"/>
      <c r="M281" s="99"/>
      <c r="N281" s="99"/>
    </row>
    <row r="282" spans="2:14" x14ac:dyDescent="0.25">
      <c r="B282" s="99"/>
      <c r="C282" s="99"/>
      <c r="D282" s="99"/>
      <c r="E282" s="99"/>
      <c r="F282" s="99"/>
      <c r="G282" s="99"/>
      <c r="H282" s="99"/>
      <c r="I282" s="99"/>
      <c r="J282" s="99"/>
      <c r="K282" s="99"/>
      <c r="L282" s="99"/>
      <c r="M282" s="99"/>
      <c r="N282" s="99"/>
    </row>
    <row r="283" spans="2:14" x14ac:dyDescent="0.25">
      <c r="B283" s="99"/>
      <c r="C283" s="99"/>
      <c r="D283" s="99"/>
      <c r="E283" s="99"/>
      <c r="F283" s="99"/>
      <c r="G283" s="99"/>
      <c r="H283" s="99"/>
      <c r="I283" s="99"/>
      <c r="J283" s="99"/>
      <c r="K283" s="99"/>
      <c r="L283" s="99"/>
      <c r="M283" s="99"/>
      <c r="N283" s="99"/>
    </row>
    <row r="284" spans="2:14" x14ac:dyDescent="0.25">
      <c r="B284" s="99"/>
      <c r="C284" s="99"/>
      <c r="D284" s="99"/>
      <c r="E284" s="99"/>
      <c r="F284" s="99"/>
      <c r="G284" s="99"/>
      <c r="H284" s="99"/>
      <c r="I284" s="99"/>
      <c r="J284" s="99"/>
      <c r="K284" s="99"/>
      <c r="L284" s="99"/>
      <c r="M284" s="99"/>
      <c r="N284" s="99"/>
    </row>
    <row r="285" spans="2:14" x14ac:dyDescent="0.25">
      <c r="B285" s="99"/>
      <c r="C285" s="99"/>
      <c r="D285" s="99"/>
      <c r="E285" s="99"/>
      <c r="F285" s="99"/>
      <c r="G285" s="99"/>
      <c r="H285" s="99"/>
      <c r="I285" s="99"/>
      <c r="J285" s="99"/>
      <c r="K285" s="99"/>
      <c r="L285" s="99"/>
      <c r="M285" s="99"/>
      <c r="N285" s="99"/>
    </row>
    <row r="286" spans="2:14" x14ac:dyDescent="0.25">
      <c r="B286" s="99"/>
      <c r="C286" s="99"/>
      <c r="D286" s="99"/>
      <c r="E286" s="99"/>
      <c r="F286" s="99"/>
      <c r="G286" s="99"/>
      <c r="H286" s="99"/>
      <c r="I286" s="99"/>
      <c r="J286" s="99"/>
      <c r="K286" s="99"/>
      <c r="L286" s="99"/>
      <c r="M286" s="99"/>
      <c r="N286" s="99"/>
    </row>
    <row r="287" spans="2:14" x14ac:dyDescent="0.25">
      <c r="B287" s="99"/>
      <c r="C287" s="99"/>
      <c r="D287" s="99"/>
      <c r="E287" s="99"/>
      <c r="F287" s="99"/>
      <c r="G287" s="99"/>
      <c r="H287" s="99"/>
      <c r="I287" s="99"/>
      <c r="J287" s="99"/>
      <c r="K287" s="99"/>
      <c r="L287" s="99"/>
      <c r="M287" s="99"/>
      <c r="N287" s="99"/>
    </row>
    <row r="288" spans="2:14" x14ac:dyDescent="0.25">
      <c r="B288" s="99"/>
      <c r="C288" s="99"/>
      <c r="D288" s="99"/>
      <c r="E288" s="99"/>
      <c r="F288" s="99"/>
      <c r="G288" s="99"/>
      <c r="H288" s="99"/>
      <c r="I288" s="99"/>
      <c r="J288" s="99"/>
      <c r="K288" s="99"/>
      <c r="L288" s="99"/>
      <c r="M288" s="99"/>
      <c r="N288" s="99"/>
    </row>
    <row r="289" spans="2:14" x14ac:dyDescent="0.25">
      <c r="B289" s="99"/>
      <c r="C289" s="99"/>
      <c r="D289" s="99"/>
      <c r="E289" s="99"/>
      <c r="F289" s="99"/>
      <c r="G289" s="99"/>
      <c r="H289" s="99"/>
      <c r="I289" s="99"/>
      <c r="J289" s="99"/>
      <c r="K289" s="99"/>
      <c r="L289" s="99"/>
      <c r="M289" s="99"/>
      <c r="N289" s="99"/>
    </row>
    <row r="290" spans="2:14" x14ac:dyDescent="0.25">
      <c r="B290" s="99"/>
      <c r="C290" s="99"/>
      <c r="D290" s="99"/>
      <c r="E290" s="99"/>
      <c r="F290" s="99"/>
      <c r="G290" s="99"/>
      <c r="H290" s="99"/>
      <c r="I290" s="99"/>
      <c r="J290" s="99"/>
      <c r="K290" s="99"/>
      <c r="L290" s="99"/>
      <c r="M290" s="99"/>
      <c r="N290" s="99"/>
    </row>
    <row r="291" spans="2:14" x14ac:dyDescent="0.25">
      <c r="B291" s="99"/>
      <c r="C291" s="99"/>
      <c r="D291" s="99"/>
      <c r="E291" s="99"/>
      <c r="F291" s="99"/>
      <c r="G291" s="99"/>
      <c r="H291" s="99"/>
      <c r="I291" s="99"/>
      <c r="J291" s="99"/>
      <c r="K291" s="99"/>
      <c r="L291" s="99"/>
      <c r="M291" s="99"/>
      <c r="N291" s="99"/>
    </row>
    <row r="292" spans="2:14" x14ac:dyDescent="0.25">
      <c r="B292" s="99"/>
      <c r="C292" s="99"/>
      <c r="D292" s="99"/>
      <c r="E292" s="99"/>
      <c r="F292" s="99"/>
      <c r="G292" s="99"/>
      <c r="H292" s="99"/>
      <c r="I292" s="99"/>
      <c r="J292" s="99"/>
      <c r="K292" s="99"/>
      <c r="L292" s="99"/>
      <c r="M292" s="99"/>
      <c r="N292" s="99"/>
    </row>
    <row r="293" spans="2:14" x14ac:dyDescent="0.25">
      <c r="B293" s="99"/>
      <c r="C293" s="99"/>
      <c r="D293" s="99"/>
      <c r="E293" s="99"/>
      <c r="F293" s="99"/>
      <c r="G293" s="99"/>
      <c r="H293" s="99"/>
      <c r="I293" s="99"/>
      <c r="J293" s="99"/>
      <c r="K293" s="99"/>
      <c r="L293" s="99"/>
      <c r="M293" s="99"/>
      <c r="N293" s="99"/>
    </row>
    <row r="294" spans="2:14" x14ac:dyDescent="0.25">
      <c r="B294" s="99"/>
      <c r="C294" s="99"/>
      <c r="D294" s="99"/>
      <c r="E294" s="99"/>
      <c r="F294" s="99"/>
      <c r="G294" s="99"/>
      <c r="H294" s="99"/>
      <c r="I294" s="99"/>
      <c r="J294" s="99"/>
      <c r="K294" s="99"/>
      <c r="L294" s="99"/>
      <c r="M294" s="99"/>
      <c r="N294" s="99"/>
    </row>
    <row r="295" spans="2:14" x14ac:dyDescent="0.25">
      <c r="B295" s="99"/>
      <c r="C295" s="99"/>
      <c r="D295" s="99"/>
      <c r="E295" s="99"/>
      <c r="F295" s="99"/>
      <c r="G295" s="99"/>
      <c r="H295" s="99"/>
      <c r="I295" s="99"/>
      <c r="J295" s="99"/>
      <c r="K295" s="99"/>
      <c r="L295" s="99"/>
      <c r="M295" s="99"/>
      <c r="N295" s="99"/>
    </row>
    <row r="296" spans="2:14" x14ac:dyDescent="0.25">
      <c r="B296" s="99"/>
      <c r="C296" s="99"/>
      <c r="D296" s="99"/>
      <c r="E296" s="99"/>
      <c r="F296" s="99"/>
      <c r="G296" s="99"/>
      <c r="H296" s="99"/>
      <c r="I296" s="99"/>
      <c r="J296" s="99"/>
      <c r="K296" s="99"/>
      <c r="L296" s="99"/>
      <c r="M296" s="99"/>
      <c r="N296" s="99"/>
    </row>
    <row r="297" spans="2:14" x14ac:dyDescent="0.25">
      <c r="B297" s="99"/>
      <c r="C297" s="99"/>
      <c r="D297" s="99"/>
      <c r="E297" s="99"/>
      <c r="F297" s="99"/>
      <c r="G297" s="99"/>
      <c r="H297" s="99"/>
      <c r="I297" s="99"/>
      <c r="J297" s="99"/>
      <c r="K297" s="99"/>
      <c r="L297" s="99"/>
      <c r="M297" s="99"/>
      <c r="N297" s="99"/>
    </row>
    <row r="298" spans="2:14" x14ac:dyDescent="0.25">
      <c r="B298" s="99"/>
      <c r="C298" s="99"/>
      <c r="D298" s="99"/>
      <c r="E298" s="99"/>
      <c r="F298" s="99"/>
      <c r="G298" s="99"/>
      <c r="H298" s="99"/>
      <c r="I298" s="99"/>
      <c r="J298" s="99"/>
      <c r="K298" s="99"/>
      <c r="L298" s="99"/>
      <c r="M298" s="99"/>
      <c r="N298" s="99"/>
    </row>
    <row r="299" spans="2:14" x14ac:dyDescent="0.25">
      <c r="B299" s="99"/>
      <c r="C299" s="99"/>
      <c r="D299" s="99"/>
      <c r="E299" s="99"/>
      <c r="F299" s="99"/>
      <c r="G299" s="99"/>
      <c r="H299" s="99"/>
      <c r="I299" s="99"/>
      <c r="J299" s="99"/>
      <c r="K299" s="99"/>
      <c r="L299" s="99"/>
      <c r="M299" s="99"/>
      <c r="N299" s="99"/>
    </row>
    <row r="300" spans="2:14" x14ac:dyDescent="0.25">
      <c r="B300" s="99"/>
      <c r="C300" s="99"/>
      <c r="D300" s="99"/>
      <c r="E300" s="99"/>
      <c r="F300" s="99"/>
      <c r="G300" s="99"/>
      <c r="H300" s="99"/>
      <c r="I300" s="99"/>
      <c r="J300" s="99"/>
      <c r="K300" s="99"/>
      <c r="L300" s="99"/>
      <c r="M300" s="99"/>
      <c r="N300" s="99"/>
    </row>
    <row r="301" spans="2:14" x14ac:dyDescent="0.25">
      <c r="B301" s="99"/>
      <c r="C301" s="99"/>
      <c r="D301" s="99"/>
      <c r="E301" s="99"/>
      <c r="F301" s="99"/>
      <c r="G301" s="99"/>
      <c r="H301" s="99"/>
      <c r="I301" s="99"/>
      <c r="J301" s="99"/>
      <c r="K301" s="99"/>
      <c r="L301" s="99"/>
      <c r="M301" s="99"/>
      <c r="N301" s="99"/>
    </row>
    <row r="302" spans="2:14" x14ac:dyDescent="0.25">
      <c r="B302" s="99"/>
      <c r="C302" s="99"/>
      <c r="D302" s="99"/>
      <c r="E302" s="99"/>
      <c r="F302" s="99"/>
      <c r="G302" s="99"/>
      <c r="H302" s="99"/>
      <c r="I302" s="99"/>
      <c r="J302" s="99"/>
      <c r="K302" s="99"/>
      <c r="L302" s="99"/>
      <c r="M302" s="99"/>
      <c r="N302" s="99"/>
    </row>
    <row r="303" spans="2:14" x14ac:dyDescent="0.25">
      <c r="B303" s="99"/>
      <c r="C303" s="99"/>
      <c r="D303" s="99"/>
      <c r="E303" s="99"/>
      <c r="F303" s="99"/>
      <c r="G303" s="99"/>
      <c r="H303" s="99"/>
      <c r="I303" s="99"/>
      <c r="J303" s="99"/>
      <c r="K303" s="99"/>
      <c r="L303" s="99"/>
      <c r="M303" s="99"/>
      <c r="N303" s="99"/>
    </row>
    <row r="304" spans="2:14" x14ac:dyDescent="0.25">
      <c r="B304" s="99"/>
      <c r="C304" s="99"/>
      <c r="D304" s="99"/>
      <c r="E304" s="99"/>
      <c r="F304" s="99"/>
      <c r="G304" s="99"/>
      <c r="H304" s="99"/>
      <c r="I304" s="99"/>
      <c r="J304" s="99"/>
      <c r="K304" s="99"/>
      <c r="L304" s="99"/>
      <c r="M304" s="99"/>
      <c r="N304" s="99"/>
    </row>
    <row r="305" spans="2:14" x14ac:dyDescent="0.25">
      <c r="B305" s="99"/>
      <c r="C305" s="99"/>
      <c r="D305" s="99"/>
      <c r="E305" s="99"/>
      <c r="F305" s="99"/>
      <c r="G305" s="99"/>
      <c r="H305" s="99"/>
      <c r="I305" s="99"/>
      <c r="J305" s="99"/>
      <c r="K305" s="99"/>
      <c r="L305" s="99"/>
      <c r="M305" s="99"/>
      <c r="N305" s="99"/>
    </row>
    <row r="306" spans="2:14" x14ac:dyDescent="0.25">
      <c r="B306" s="99"/>
      <c r="C306" s="99"/>
      <c r="D306" s="99"/>
      <c r="E306" s="99"/>
      <c r="F306" s="99"/>
      <c r="G306" s="99"/>
      <c r="H306" s="99"/>
      <c r="I306" s="99"/>
      <c r="J306" s="99"/>
      <c r="K306" s="99"/>
      <c r="L306" s="99"/>
      <c r="M306" s="99"/>
      <c r="N306" s="99"/>
    </row>
    <row r="307" spans="2:14" x14ac:dyDescent="0.25">
      <c r="B307" s="99"/>
      <c r="C307" s="99"/>
      <c r="D307" s="99"/>
      <c r="E307" s="99"/>
      <c r="F307" s="99"/>
      <c r="G307" s="99"/>
      <c r="H307" s="99"/>
      <c r="I307" s="99"/>
      <c r="J307" s="99"/>
      <c r="K307" s="99"/>
      <c r="L307" s="99"/>
      <c r="M307" s="99"/>
      <c r="N307" s="99"/>
    </row>
    <row r="308" spans="2:14" x14ac:dyDescent="0.25">
      <c r="B308" s="99"/>
      <c r="C308" s="99"/>
      <c r="D308" s="99"/>
      <c r="E308" s="99"/>
      <c r="F308" s="99"/>
      <c r="G308" s="99"/>
      <c r="H308" s="99"/>
      <c r="I308" s="99"/>
      <c r="J308" s="99"/>
      <c r="K308" s="99"/>
      <c r="L308" s="99"/>
      <c r="M308" s="99"/>
      <c r="N308" s="99"/>
    </row>
    <row r="309" spans="2:14" x14ac:dyDescent="0.25">
      <c r="B309" s="99"/>
      <c r="C309" s="99"/>
      <c r="D309" s="99"/>
      <c r="E309" s="99"/>
      <c r="F309" s="99"/>
      <c r="G309" s="99"/>
      <c r="H309" s="99"/>
      <c r="I309" s="99"/>
      <c r="J309" s="99"/>
      <c r="K309" s="99"/>
      <c r="L309" s="99"/>
      <c r="M309" s="99"/>
      <c r="N309" s="99"/>
    </row>
    <row r="310" spans="2:14" x14ac:dyDescent="0.25">
      <c r="B310" s="99"/>
      <c r="C310" s="99"/>
      <c r="D310" s="99"/>
      <c r="E310" s="99"/>
      <c r="F310" s="99"/>
      <c r="G310" s="99"/>
      <c r="H310" s="99"/>
      <c r="I310" s="99"/>
      <c r="J310" s="99"/>
      <c r="K310" s="99"/>
      <c r="L310" s="99"/>
      <c r="M310" s="99"/>
      <c r="N310" s="99"/>
    </row>
    <row r="311" spans="2:14" x14ac:dyDescent="0.25">
      <c r="B311" s="99"/>
      <c r="C311" s="99"/>
      <c r="D311" s="99"/>
      <c r="E311" s="99"/>
      <c r="F311" s="99"/>
      <c r="G311" s="99"/>
      <c r="H311" s="99"/>
      <c r="I311" s="99"/>
      <c r="J311" s="99"/>
      <c r="K311" s="99"/>
      <c r="L311" s="99"/>
      <c r="M311" s="99"/>
      <c r="N311" s="99"/>
    </row>
    <row r="312" spans="2:14" x14ac:dyDescent="0.25">
      <c r="B312" s="99"/>
      <c r="C312" s="99"/>
      <c r="D312" s="99"/>
      <c r="E312" s="99"/>
      <c r="F312" s="99"/>
      <c r="G312" s="99"/>
      <c r="H312" s="99"/>
      <c r="I312" s="99"/>
      <c r="J312" s="99"/>
      <c r="K312" s="99"/>
      <c r="L312" s="99"/>
      <c r="M312" s="99"/>
      <c r="N312" s="99"/>
    </row>
    <row r="313" spans="2:14" x14ac:dyDescent="0.25">
      <c r="B313" s="99"/>
      <c r="C313" s="99"/>
      <c r="D313" s="99"/>
      <c r="E313" s="99"/>
      <c r="F313" s="99"/>
      <c r="G313" s="99"/>
      <c r="H313" s="99"/>
      <c r="I313" s="99"/>
      <c r="J313" s="99"/>
      <c r="K313" s="99"/>
      <c r="L313" s="99"/>
      <c r="M313" s="99"/>
      <c r="N313" s="99"/>
    </row>
    <row r="314" spans="2:14" x14ac:dyDescent="0.25">
      <c r="B314" s="99"/>
      <c r="C314" s="99"/>
      <c r="D314" s="99"/>
      <c r="E314" s="99"/>
      <c r="F314" s="99"/>
      <c r="G314" s="99"/>
      <c r="H314" s="99"/>
      <c r="I314" s="99"/>
      <c r="J314" s="99"/>
      <c r="K314" s="99"/>
      <c r="L314" s="99"/>
      <c r="M314" s="99"/>
      <c r="N314" s="99"/>
    </row>
    <row r="315" spans="2:14" x14ac:dyDescent="0.25">
      <c r="B315" s="99"/>
      <c r="C315" s="99"/>
      <c r="D315" s="99"/>
      <c r="E315" s="99"/>
      <c r="F315" s="99"/>
      <c r="G315" s="99"/>
      <c r="H315" s="99"/>
      <c r="I315" s="99"/>
      <c r="J315" s="99"/>
      <c r="K315" s="99"/>
      <c r="L315" s="99"/>
      <c r="M315" s="99"/>
      <c r="N315" s="99"/>
    </row>
    <row r="316" spans="2:14" x14ac:dyDescent="0.25">
      <c r="B316" s="99"/>
      <c r="C316" s="99"/>
      <c r="D316" s="99"/>
      <c r="E316" s="99"/>
      <c r="F316" s="99"/>
      <c r="G316" s="99"/>
      <c r="H316" s="99"/>
      <c r="I316" s="99"/>
      <c r="J316" s="99"/>
      <c r="K316" s="99"/>
      <c r="L316" s="99"/>
      <c r="M316" s="99"/>
      <c r="N316" s="99"/>
    </row>
    <row r="317" spans="2:14" x14ac:dyDescent="0.25">
      <c r="B317" s="99"/>
      <c r="C317" s="99"/>
      <c r="D317" s="99"/>
      <c r="E317" s="99"/>
      <c r="F317" s="99"/>
      <c r="G317" s="99"/>
      <c r="H317" s="99"/>
      <c r="I317" s="99"/>
      <c r="J317" s="99"/>
      <c r="K317" s="99"/>
      <c r="L317" s="99"/>
      <c r="M317" s="99"/>
      <c r="N317" s="99"/>
    </row>
    <row r="318" spans="2:14" x14ac:dyDescent="0.25">
      <c r="B318" s="99"/>
      <c r="C318" s="99"/>
      <c r="D318" s="99"/>
      <c r="E318" s="99"/>
      <c r="F318" s="99"/>
      <c r="G318" s="99"/>
      <c r="H318" s="99"/>
      <c r="I318" s="99"/>
      <c r="J318" s="99"/>
      <c r="K318" s="99"/>
      <c r="L318" s="99"/>
      <c r="M318" s="99"/>
      <c r="N318" s="99"/>
    </row>
    <row r="319" spans="2:14" x14ac:dyDescent="0.25">
      <c r="B319" s="99"/>
      <c r="C319" s="99"/>
      <c r="D319" s="99"/>
      <c r="E319" s="99"/>
      <c r="F319" s="99"/>
      <c r="G319" s="99"/>
      <c r="H319" s="99"/>
      <c r="I319" s="99"/>
      <c r="J319" s="99"/>
      <c r="K319" s="99"/>
      <c r="L319" s="99"/>
      <c r="M319" s="99"/>
      <c r="N319" s="99"/>
    </row>
    <row r="320" spans="2:14" x14ac:dyDescent="0.25">
      <c r="B320" s="99"/>
      <c r="C320" s="99"/>
      <c r="D320" s="99"/>
      <c r="E320" s="99"/>
      <c r="F320" s="99"/>
      <c r="G320" s="99"/>
      <c r="H320" s="99"/>
      <c r="I320" s="99"/>
      <c r="J320" s="99"/>
      <c r="K320" s="99"/>
      <c r="L320" s="99"/>
      <c r="M320" s="99"/>
      <c r="N320" s="99"/>
    </row>
    <row r="321" spans="2:14" x14ac:dyDescent="0.25">
      <c r="B321" s="99"/>
      <c r="C321" s="99"/>
      <c r="D321" s="99"/>
      <c r="E321" s="99"/>
      <c r="F321" s="99"/>
      <c r="G321" s="99"/>
      <c r="H321" s="99"/>
      <c r="I321" s="99"/>
      <c r="J321" s="99"/>
      <c r="K321" s="99"/>
      <c r="L321" s="99"/>
      <c r="M321" s="99"/>
      <c r="N321" s="99"/>
    </row>
    <row r="322" spans="2:14" x14ac:dyDescent="0.25">
      <c r="B322" s="99"/>
      <c r="C322" s="99"/>
      <c r="D322" s="99"/>
      <c r="E322" s="99"/>
      <c r="F322" s="99"/>
      <c r="G322" s="99"/>
      <c r="H322" s="99"/>
      <c r="I322" s="99"/>
      <c r="J322" s="99"/>
      <c r="K322" s="99"/>
      <c r="L322" s="99"/>
      <c r="M322" s="99"/>
      <c r="N322" s="99"/>
    </row>
    <row r="323" spans="2:14" x14ac:dyDescent="0.25">
      <c r="B323" s="99"/>
      <c r="C323" s="99"/>
      <c r="D323" s="99"/>
      <c r="E323" s="99"/>
      <c r="F323" s="99"/>
      <c r="G323" s="99"/>
      <c r="H323" s="99"/>
      <c r="I323" s="99"/>
      <c r="J323" s="99"/>
      <c r="K323" s="99"/>
      <c r="L323" s="99"/>
      <c r="M323" s="99"/>
      <c r="N323" s="99"/>
    </row>
    <row r="324" spans="2:14" x14ac:dyDescent="0.25">
      <c r="B324" s="99"/>
      <c r="C324" s="99"/>
      <c r="D324" s="99"/>
      <c r="E324" s="99"/>
      <c r="F324" s="99"/>
      <c r="G324" s="99"/>
      <c r="H324" s="99"/>
      <c r="I324" s="99"/>
      <c r="J324" s="99"/>
      <c r="K324" s="99"/>
      <c r="L324" s="99"/>
      <c r="M324" s="99"/>
      <c r="N324" s="99"/>
    </row>
    <row r="325" spans="2:14" x14ac:dyDescent="0.25">
      <c r="B325" s="99"/>
      <c r="C325" s="99"/>
      <c r="D325" s="99"/>
      <c r="E325" s="99"/>
      <c r="F325" s="99"/>
      <c r="G325" s="99"/>
      <c r="H325" s="99"/>
      <c r="I325" s="99"/>
      <c r="J325" s="99"/>
      <c r="K325" s="99"/>
      <c r="L325" s="99"/>
      <c r="M325" s="99"/>
      <c r="N325" s="99"/>
    </row>
    <row r="326" spans="2:14" x14ac:dyDescent="0.25">
      <c r="B326" s="99"/>
      <c r="C326" s="99"/>
      <c r="D326" s="99"/>
      <c r="E326" s="99"/>
      <c r="F326" s="99"/>
      <c r="G326" s="99"/>
      <c r="H326" s="99"/>
      <c r="I326" s="99"/>
      <c r="J326" s="99"/>
      <c r="K326" s="99"/>
      <c r="L326" s="99"/>
      <c r="M326" s="99"/>
      <c r="N326" s="99"/>
    </row>
    <row r="327" spans="2:14" x14ac:dyDescent="0.25">
      <c r="B327" s="99"/>
      <c r="C327" s="99"/>
      <c r="D327" s="99"/>
      <c r="E327" s="99"/>
      <c r="F327" s="99"/>
      <c r="G327" s="99"/>
      <c r="H327" s="99"/>
      <c r="I327" s="99"/>
      <c r="J327" s="99"/>
      <c r="K327" s="99"/>
      <c r="L327" s="99"/>
      <c r="M327" s="99"/>
      <c r="N327" s="99"/>
    </row>
    <row r="328" spans="2:14" x14ac:dyDescent="0.25">
      <c r="B328" s="99"/>
      <c r="C328" s="99"/>
      <c r="D328" s="99"/>
      <c r="E328" s="99"/>
      <c r="F328" s="99"/>
      <c r="G328" s="99"/>
      <c r="H328" s="99"/>
      <c r="I328" s="99"/>
      <c r="J328" s="99"/>
      <c r="K328" s="99"/>
      <c r="L328" s="99"/>
      <c r="M328" s="99"/>
      <c r="N328" s="99"/>
    </row>
    <row r="329" spans="2:14" x14ac:dyDescent="0.25">
      <c r="B329" s="99"/>
      <c r="C329" s="99"/>
      <c r="D329" s="99"/>
      <c r="E329" s="99"/>
      <c r="F329" s="99"/>
      <c r="G329" s="99"/>
      <c r="H329" s="99"/>
      <c r="I329" s="99"/>
      <c r="J329" s="99"/>
      <c r="K329" s="99"/>
      <c r="L329" s="99"/>
      <c r="M329" s="99"/>
      <c r="N329" s="99"/>
    </row>
    <row r="330" spans="2:14" x14ac:dyDescent="0.25">
      <c r="B330" s="99"/>
      <c r="C330" s="99"/>
      <c r="D330" s="99"/>
      <c r="E330" s="99"/>
      <c r="F330" s="99"/>
      <c r="G330" s="99"/>
      <c r="H330" s="99"/>
      <c r="I330" s="99"/>
      <c r="J330" s="99"/>
      <c r="K330" s="99"/>
      <c r="L330" s="99"/>
      <c r="M330" s="99"/>
      <c r="N330" s="99"/>
    </row>
    <row r="331" spans="2:14" x14ac:dyDescent="0.25">
      <c r="B331" s="99"/>
      <c r="C331" s="99"/>
      <c r="D331" s="99"/>
      <c r="E331" s="99"/>
      <c r="F331" s="99"/>
      <c r="G331" s="99"/>
      <c r="H331" s="99"/>
      <c r="I331" s="99"/>
      <c r="J331" s="99"/>
      <c r="K331" s="99"/>
      <c r="L331" s="99"/>
      <c r="M331" s="99"/>
      <c r="N331" s="99"/>
    </row>
    <row r="332" spans="2:14" x14ac:dyDescent="0.25">
      <c r="B332" s="99"/>
      <c r="C332" s="99"/>
      <c r="D332" s="99"/>
      <c r="E332" s="99"/>
      <c r="F332" s="99"/>
      <c r="G332" s="99"/>
      <c r="H332" s="99"/>
      <c r="I332" s="99"/>
      <c r="J332" s="99"/>
      <c r="K332" s="99"/>
      <c r="L332" s="99"/>
      <c r="M332" s="99"/>
      <c r="N332" s="99"/>
    </row>
    <row r="333" spans="2:14" x14ac:dyDescent="0.25">
      <c r="B333" s="99"/>
      <c r="C333" s="99"/>
      <c r="D333" s="99"/>
      <c r="E333" s="99"/>
      <c r="F333" s="99"/>
      <c r="G333" s="99"/>
      <c r="H333" s="99"/>
      <c r="I333" s="99"/>
      <c r="J333" s="99"/>
      <c r="K333" s="99"/>
      <c r="L333" s="99"/>
      <c r="M333" s="99"/>
      <c r="N333" s="99"/>
    </row>
    <row r="334" spans="2:14" x14ac:dyDescent="0.25">
      <c r="B334" s="99"/>
      <c r="C334" s="99"/>
      <c r="D334" s="99"/>
      <c r="E334" s="99"/>
      <c r="F334" s="99"/>
      <c r="G334" s="99"/>
      <c r="H334" s="99"/>
      <c r="I334" s="99"/>
      <c r="J334" s="99"/>
      <c r="K334" s="99"/>
      <c r="L334" s="99"/>
      <c r="M334" s="99"/>
      <c r="N334" s="99"/>
    </row>
    <row r="335" spans="2:14" x14ac:dyDescent="0.25">
      <c r="B335" s="99"/>
      <c r="C335" s="99"/>
      <c r="D335" s="99"/>
      <c r="E335" s="99"/>
      <c r="F335" s="99"/>
      <c r="G335" s="99"/>
      <c r="H335" s="99"/>
      <c r="I335" s="99"/>
      <c r="J335" s="99"/>
      <c r="K335" s="99"/>
      <c r="L335" s="99"/>
      <c r="M335" s="99"/>
      <c r="N335" s="99"/>
    </row>
    <row r="336" spans="2:14" x14ac:dyDescent="0.25">
      <c r="B336" s="99"/>
      <c r="C336" s="99"/>
      <c r="D336" s="99"/>
      <c r="E336" s="99"/>
      <c r="F336" s="99"/>
      <c r="G336" s="99"/>
      <c r="H336" s="99"/>
      <c r="I336" s="99"/>
      <c r="J336" s="99"/>
      <c r="K336" s="99"/>
      <c r="L336" s="99"/>
      <c r="M336" s="99"/>
      <c r="N336" s="99"/>
    </row>
    <row r="337" spans="2:14" x14ac:dyDescent="0.25">
      <c r="B337" s="99"/>
      <c r="C337" s="99"/>
      <c r="D337" s="99"/>
      <c r="E337" s="99"/>
      <c r="F337" s="99"/>
      <c r="G337" s="99"/>
      <c r="H337" s="99"/>
      <c r="I337" s="99"/>
      <c r="J337" s="99"/>
      <c r="K337" s="99"/>
      <c r="L337" s="99"/>
      <c r="M337" s="99"/>
      <c r="N337" s="99"/>
    </row>
    <row r="338" spans="2:14" x14ac:dyDescent="0.25">
      <c r="B338" s="99"/>
      <c r="C338" s="99"/>
      <c r="D338" s="99"/>
      <c r="E338" s="99"/>
      <c r="F338" s="99"/>
      <c r="G338" s="99"/>
      <c r="H338" s="99"/>
      <c r="I338" s="99"/>
      <c r="J338" s="99"/>
      <c r="K338" s="99"/>
      <c r="L338" s="99"/>
      <c r="M338" s="99"/>
      <c r="N338" s="99"/>
    </row>
    <row r="339" spans="2:14" x14ac:dyDescent="0.25">
      <c r="B339" s="99"/>
      <c r="C339" s="99"/>
      <c r="D339" s="99"/>
      <c r="E339" s="99"/>
      <c r="F339" s="99"/>
      <c r="G339" s="99"/>
      <c r="H339" s="99"/>
      <c r="I339" s="99"/>
      <c r="J339" s="99"/>
      <c r="K339" s="99"/>
      <c r="L339" s="99"/>
      <c r="M339" s="99"/>
      <c r="N339" s="99"/>
    </row>
    <row r="340" spans="2:14" x14ac:dyDescent="0.25">
      <c r="B340" s="99"/>
      <c r="C340" s="99"/>
      <c r="D340" s="99"/>
      <c r="E340" s="99"/>
      <c r="F340" s="99"/>
      <c r="G340" s="99"/>
      <c r="H340" s="99"/>
      <c r="I340" s="99"/>
      <c r="J340" s="99"/>
      <c r="K340" s="99"/>
      <c r="L340" s="99"/>
      <c r="M340" s="99"/>
      <c r="N340" s="99"/>
    </row>
    <row r="341" spans="2:14" x14ac:dyDescent="0.25">
      <c r="B341" s="99"/>
      <c r="C341" s="99"/>
      <c r="D341" s="99"/>
      <c r="E341" s="99"/>
      <c r="F341" s="99"/>
      <c r="G341" s="99"/>
      <c r="H341" s="99"/>
      <c r="I341" s="99"/>
      <c r="J341" s="99"/>
      <c r="K341" s="99"/>
      <c r="L341" s="99"/>
      <c r="M341" s="99"/>
      <c r="N341" s="99"/>
    </row>
    <row r="342" spans="2:14" x14ac:dyDescent="0.25">
      <c r="B342" s="99"/>
      <c r="C342" s="99"/>
      <c r="D342" s="99"/>
      <c r="E342" s="99"/>
      <c r="F342" s="99"/>
      <c r="G342" s="99"/>
      <c r="H342" s="99"/>
      <c r="I342" s="99"/>
      <c r="J342" s="99"/>
      <c r="K342" s="99"/>
      <c r="L342" s="99"/>
      <c r="M342" s="99"/>
      <c r="N342" s="99"/>
    </row>
    <row r="343" spans="2:14" x14ac:dyDescent="0.25">
      <c r="B343" s="99"/>
      <c r="C343" s="99"/>
      <c r="D343" s="99"/>
      <c r="E343" s="99"/>
      <c r="F343" s="99"/>
      <c r="G343" s="99"/>
      <c r="H343" s="99"/>
      <c r="I343" s="99"/>
      <c r="J343" s="99"/>
      <c r="K343" s="99"/>
      <c r="L343" s="99"/>
      <c r="M343" s="99"/>
      <c r="N343" s="99"/>
    </row>
    <row r="344" spans="2:14" x14ac:dyDescent="0.25">
      <c r="B344" s="99"/>
      <c r="C344" s="99"/>
      <c r="D344" s="99"/>
      <c r="E344" s="99"/>
      <c r="F344" s="99"/>
      <c r="G344" s="99"/>
      <c r="H344" s="99"/>
      <c r="I344" s="99"/>
      <c r="J344" s="99"/>
      <c r="K344" s="99"/>
      <c r="L344" s="99"/>
      <c r="M344" s="99"/>
      <c r="N344" s="99"/>
    </row>
    <row r="345" spans="2:14" x14ac:dyDescent="0.25">
      <c r="B345" s="99"/>
      <c r="C345" s="99"/>
      <c r="D345" s="99"/>
      <c r="E345" s="99"/>
      <c r="F345" s="99"/>
      <c r="G345" s="99"/>
      <c r="H345" s="99"/>
      <c r="I345" s="99"/>
      <c r="J345" s="99"/>
      <c r="K345" s="99"/>
      <c r="L345" s="99"/>
      <c r="M345" s="99"/>
      <c r="N345" s="99"/>
    </row>
    <row r="346" spans="2:14" x14ac:dyDescent="0.25">
      <c r="B346" s="99"/>
      <c r="C346" s="99"/>
      <c r="D346" s="99"/>
      <c r="E346" s="99"/>
      <c r="F346" s="99"/>
      <c r="G346" s="99"/>
      <c r="H346" s="99"/>
      <c r="I346" s="99"/>
      <c r="J346" s="99"/>
      <c r="K346" s="99"/>
      <c r="L346" s="99"/>
      <c r="M346" s="99"/>
      <c r="N346" s="99"/>
    </row>
    <row r="347" spans="2:14" x14ac:dyDescent="0.25">
      <c r="B347" s="99"/>
      <c r="C347" s="99"/>
      <c r="D347" s="99"/>
      <c r="E347" s="99"/>
      <c r="F347" s="99"/>
      <c r="G347" s="99"/>
      <c r="H347" s="99"/>
      <c r="I347" s="99"/>
      <c r="J347" s="99"/>
      <c r="K347" s="99"/>
      <c r="L347" s="99"/>
      <c r="M347" s="99"/>
      <c r="N347" s="99"/>
    </row>
    <row r="348" spans="2:14" x14ac:dyDescent="0.25">
      <c r="B348" s="99"/>
      <c r="C348" s="99"/>
      <c r="D348" s="99"/>
      <c r="E348" s="99"/>
      <c r="F348" s="99"/>
      <c r="G348" s="99"/>
      <c r="H348" s="99"/>
      <c r="I348" s="99"/>
      <c r="J348" s="99"/>
      <c r="K348" s="99"/>
      <c r="L348" s="99"/>
      <c r="M348" s="99"/>
      <c r="N348" s="99"/>
    </row>
    <row r="349" spans="2:14" x14ac:dyDescent="0.25">
      <c r="B349" s="99"/>
      <c r="C349" s="99"/>
      <c r="D349" s="99"/>
      <c r="E349" s="99"/>
      <c r="F349" s="99"/>
      <c r="G349" s="99"/>
      <c r="H349" s="99"/>
      <c r="I349" s="99"/>
      <c r="J349" s="99"/>
      <c r="K349" s="99"/>
      <c r="L349" s="99"/>
      <c r="M349" s="99"/>
      <c r="N349" s="99"/>
    </row>
    <row r="350" spans="2:14" x14ac:dyDescent="0.25">
      <c r="B350" s="99"/>
      <c r="C350" s="99"/>
      <c r="D350" s="99"/>
      <c r="E350" s="99"/>
      <c r="F350" s="99"/>
      <c r="G350" s="99"/>
      <c r="H350" s="99"/>
      <c r="I350" s="99"/>
      <c r="J350" s="99"/>
      <c r="K350" s="99"/>
      <c r="L350" s="99"/>
      <c r="M350" s="99"/>
      <c r="N350" s="99"/>
    </row>
    <row r="351" spans="2:14" x14ac:dyDescent="0.25">
      <c r="B351" s="99"/>
      <c r="C351" s="99"/>
      <c r="D351" s="99"/>
      <c r="E351" s="99"/>
      <c r="F351" s="99"/>
      <c r="G351" s="99"/>
      <c r="H351" s="99"/>
      <c r="I351" s="99"/>
      <c r="J351" s="99"/>
      <c r="K351" s="99"/>
      <c r="L351" s="99"/>
      <c r="M351" s="99"/>
      <c r="N351" s="99"/>
    </row>
    <row r="352" spans="2:14" x14ac:dyDescent="0.25">
      <c r="B352" s="99"/>
      <c r="C352" s="99"/>
      <c r="D352" s="99"/>
      <c r="E352" s="99"/>
      <c r="F352" s="99"/>
      <c r="G352" s="99"/>
      <c r="H352" s="99"/>
      <c r="I352" s="99"/>
      <c r="J352" s="99"/>
      <c r="K352" s="99"/>
      <c r="L352" s="99"/>
      <c r="M352" s="99"/>
      <c r="N352" s="99"/>
    </row>
    <row r="353" spans="2:14" x14ac:dyDescent="0.25">
      <c r="B353" s="99"/>
      <c r="C353" s="99"/>
      <c r="D353" s="99"/>
      <c r="E353" s="99"/>
      <c r="F353" s="99"/>
      <c r="G353" s="99"/>
      <c r="H353" s="99"/>
      <c r="I353" s="99"/>
      <c r="J353" s="99"/>
      <c r="K353" s="99"/>
      <c r="L353" s="99"/>
      <c r="M353" s="99"/>
      <c r="N353" s="99"/>
    </row>
    <row r="354" spans="2:14" x14ac:dyDescent="0.25">
      <c r="B354" s="99"/>
      <c r="C354" s="99"/>
      <c r="D354" s="99"/>
      <c r="E354" s="99"/>
      <c r="F354" s="99"/>
      <c r="G354" s="99"/>
      <c r="H354" s="99"/>
      <c r="I354" s="99"/>
      <c r="J354" s="99"/>
      <c r="K354" s="99"/>
      <c r="L354" s="99"/>
      <c r="M354" s="99"/>
      <c r="N354" s="99"/>
    </row>
    <row r="355" spans="2:14" x14ac:dyDescent="0.25">
      <c r="B355" s="99"/>
      <c r="C355" s="99"/>
      <c r="D355" s="99"/>
      <c r="E355" s="99"/>
      <c r="F355" s="99"/>
      <c r="G355" s="99"/>
      <c r="H355" s="99"/>
      <c r="I355" s="99"/>
      <c r="J355" s="99"/>
      <c r="K355" s="99"/>
      <c r="L355" s="99"/>
      <c r="M355" s="99"/>
      <c r="N355" s="99"/>
    </row>
    <row r="356" spans="2:14" x14ac:dyDescent="0.25">
      <c r="B356" s="99"/>
      <c r="C356" s="99"/>
      <c r="D356" s="99"/>
      <c r="E356" s="99"/>
      <c r="F356" s="99"/>
      <c r="G356" s="99"/>
      <c r="H356" s="99"/>
      <c r="I356" s="99"/>
      <c r="J356" s="99"/>
      <c r="K356" s="99"/>
      <c r="L356" s="99"/>
      <c r="M356" s="99"/>
      <c r="N356" s="99"/>
    </row>
    <row r="357" spans="2:14" x14ac:dyDescent="0.25">
      <c r="B357" s="99"/>
      <c r="C357" s="99"/>
      <c r="D357" s="99"/>
      <c r="E357" s="99"/>
      <c r="F357" s="99"/>
      <c r="G357" s="99"/>
      <c r="H357" s="99"/>
      <c r="I357" s="99"/>
      <c r="J357" s="99"/>
      <c r="K357" s="99"/>
      <c r="L357" s="99"/>
      <c r="M357" s="99"/>
      <c r="N357" s="99"/>
    </row>
    <row r="358" spans="2:14" x14ac:dyDescent="0.25">
      <c r="B358" s="99"/>
      <c r="C358" s="99"/>
      <c r="D358" s="99"/>
      <c r="E358" s="99"/>
      <c r="F358" s="99"/>
      <c r="G358" s="99"/>
      <c r="H358" s="99"/>
      <c r="I358" s="99"/>
      <c r="J358" s="99"/>
      <c r="K358" s="99"/>
      <c r="L358" s="99"/>
      <c r="M358" s="99"/>
      <c r="N358" s="99"/>
    </row>
    <row r="359" spans="2:14" x14ac:dyDescent="0.25">
      <c r="B359" s="99"/>
      <c r="C359" s="99"/>
      <c r="D359" s="99"/>
      <c r="E359" s="99"/>
      <c r="F359" s="99"/>
      <c r="G359" s="99"/>
      <c r="H359" s="99"/>
      <c r="I359" s="99"/>
      <c r="J359" s="99"/>
      <c r="K359" s="99"/>
      <c r="L359" s="99"/>
      <c r="M359" s="99"/>
      <c r="N359" s="99"/>
    </row>
    <row r="360" spans="2:14" x14ac:dyDescent="0.25">
      <c r="B360" s="99"/>
      <c r="C360" s="99"/>
      <c r="D360" s="99"/>
      <c r="E360" s="99"/>
      <c r="F360" s="99"/>
      <c r="G360" s="99"/>
      <c r="H360" s="99"/>
      <c r="I360" s="99"/>
      <c r="J360" s="99"/>
      <c r="K360" s="99"/>
      <c r="L360" s="99"/>
      <c r="M360" s="99"/>
      <c r="N360" s="99"/>
    </row>
    <row r="361" spans="2:14" x14ac:dyDescent="0.25">
      <c r="B361" s="99"/>
      <c r="C361" s="99"/>
      <c r="D361" s="99"/>
      <c r="E361" s="99"/>
      <c r="F361" s="99"/>
      <c r="G361" s="99"/>
      <c r="H361" s="99"/>
      <c r="I361" s="99"/>
      <c r="J361" s="99"/>
      <c r="K361" s="99"/>
      <c r="L361" s="99"/>
      <c r="M361" s="99"/>
      <c r="N361" s="99"/>
    </row>
    <row r="362" spans="2:14" x14ac:dyDescent="0.25">
      <c r="B362" s="99"/>
      <c r="C362" s="99"/>
      <c r="D362" s="99"/>
      <c r="E362" s="99"/>
      <c r="F362" s="99"/>
      <c r="G362" s="99"/>
      <c r="H362" s="99"/>
      <c r="I362" s="99"/>
      <c r="J362" s="99"/>
      <c r="K362" s="99"/>
      <c r="L362" s="99"/>
      <c r="M362" s="99"/>
      <c r="N362" s="99"/>
    </row>
    <row r="363" spans="2:14" x14ac:dyDescent="0.25">
      <c r="B363" s="99"/>
      <c r="C363" s="99"/>
      <c r="D363" s="99"/>
      <c r="E363" s="99"/>
      <c r="F363" s="99"/>
      <c r="G363" s="99"/>
      <c r="H363" s="99"/>
      <c r="I363" s="99"/>
      <c r="J363" s="99"/>
      <c r="K363" s="99"/>
      <c r="L363" s="99"/>
      <c r="M363" s="99"/>
      <c r="N363" s="99"/>
    </row>
    <row r="364" spans="2:14" x14ac:dyDescent="0.25">
      <c r="B364" s="99"/>
      <c r="C364" s="99"/>
      <c r="D364" s="99"/>
      <c r="E364" s="99"/>
      <c r="F364" s="99"/>
      <c r="G364" s="99"/>
      <c r="H364" s="99"/>
      <c r="I364" s="99"/>
      <c r="J364" s="99"/>
      <c r="K364" s="99"/>
      <c r="L364" s="99"/>
      <c r="M364" s="99"/>
      <c r="N364" s="99"/>
    </row>
    <row r="365" spans="2:14" x14ac:dyDescent="0.25">
      <c r="B365" s="99"/>
      <c r="C365" s="99"/>
      <c r="D365" s="99"/>
      <c r="E365" s="99"/>
      <c r="F365" s="99"/>
      <c r="G365" s="99"/>
      <c r="H365" s="99"/>
      <c r="I365" s="99"/>
      <c r="J365" s="99"/>
      <c r="K365" s="99"/>
      <c r="L365" s="99"/>
      <c r="M365" s="99"/>
      <c r="N365" s="99"/>
    </row>
    <row r="366" spans="2:14" x14ac:dyDescent="0.25">
      <c r="B366" s="99"/>
      <c r="C366" s="99"/>
      <c r="D366" s="99"/>
      <c r="E366" s="99"/>
      <c r="F366" s="99"/>
      <c r="G366" s="99"/>
      <c r="H366" s="99"/>
      <c r="I366" s="99"/>
      <c r="J366" s="99"/>
      <c r="K366" s="99"/>
      <c r="L366" s="99"/>
      <c r="M366" s="99"/>
      <c r="N366" s="99"/>
    </row>
    <row r="367" spans="2:14" x14ac:dyDescent="0.25">
      <c r="B367" s="99"/>
      <c r="C367" s="99"/>
      <c r="D367" s="99"/>
      <c r="E367" s="99"/>
      <c r="F367" s="99"/>
      <c r="G367" s="99"/>
      <c r="H367" s="99"/>
      <c r="I367" s="99"/>
      <c r="J367" s="99"/>
      <c r="K367" s="99"/>
      <c r="L367" s="99"/>
      <c r="M367" s="99"/>
      <c r="N367" s="99"/>
    </row>
    <row r="368" spans="2:14" x14ac:dyDescent="0.25">
      <c r="B368" s="99"/>
      <c r="C368" s="99"/>
      <c r="D368" s="99"/>
      <c r="E368" s="99"/>
      <c r="F368" s="99"/>
      <c r="G368" s="99"/>
      <c r="H368" s="99"/>
      <c r="I368" s="99"/>
      <c r="J368" s="99"/>
      <c r="K368" s="99"/>
      <c r="L368" s="99"/>
      <c r="M368" s="99"/>
      <c r="N368" s="99"/>
    </row>
    <row r="369" spans="2:14" x14ac:dyDescent="0.25">
      <c r="B369" s="99"/>
      <c r="C369" s="99"/>
      <c r="D369" s="99"/>
      <c r="E369" s="99"/>
      <c r="F369" s="99"/>
      <c r="G369" s="99"/>
      <c r="H369" s="99"/>
      <c r="I369" s="99"/>
      <c r="J369" s="99"/>
      <c r="K369" s="99"/>
      <c r="L369" s="99"/>
      <c r="M369" s="99"/>
      <c r="N369" s="99"/>
    </row>
    <row r="370" spans="2:14" x14ac:dyDescent="0.25">
      <c r="B370" s="99"/>
      <c r="C370" s="99"/>
      <c r="D370" s="99"/>
      <c r="E370" s="99"/>
      <c r="F370" s="99"/>
      <c r="G370" s="99"/>
      <c r="H370" s="99"/>
      <c r="I370" s="99"/>
      <c r="J370" s="99"/>
      <c r="K370" s="99"/>
      <c r="L370" s="99"/>
      <c r="M370" s="99"/>
      <c r="N370" s="99"/>
    </row>
    <row r="371" spans="2:14" x14ac:dyDescent="0.25">
      <c r="B371" s="99"/>
      <c r="C371" s="99"/>
      <c r="D371" s="99"/>
      <c r="E371" s="99"/>
      <c r="F371" s="99"/>
      <c r="G371" s="99"/>
      <c r="H371" s="99"/>
      <c r="I371" s="99"/>
      <c r="J371" s="99"/>
      <c r="K371" s="99"/>
      <c r="L371" s="99"/>
      <c r="M371" s="99"/>
      <c r="N371" s="99"/>
    </row>
    <row r="372" spans="2:14" x14ac:dyDescent="0.25">
      <c r="B372" s="99"/>
      <c r="C372" s="99"/>
      <c r="D372" s="99"/>
      <c r="E372" s="99"/>
      <c r="F372" s="99"/>
      <c r="G372" s="99"/>
      <c r="H372" s="99"/>
      <c r="I372" s="99"/>
      <c r="J372" s="99"/>
      <c r="K372" s="99"/>
      <c r="L372" s="99"/>
      <c r="M372" s="99"/>
      <c r="N372" s="99"/>
    </row>
    <row r="373" spans="2:14" x14ac:dyDescent="0.25">
      <c r="B373" s="99"/>
      <c r="C373" s="99"/>
      <c r="D373" s="99"/>
      <c r="E373" s="99"/>
      <c r="F373" s="99"/>
      <c r="G373" s="99"/>
      <c r="H373" s="99"/>
      <c r="I373" s="99"/>
      <c r="J373" s="99"/>
      <c r="K373" s="99"/>
      <c r="L373" s="99"/>
      <c r="M373" s="99"/>
      <c r="N373" s="99"/>
    </row>
    <row r="374" spans="2:14" x14ac:dyDescent="0.25">
      <c r="B374" s="99"/>
      <c r="C374" s="99"/>
      <c r="D374" s="99"/>
      <c r="E374" s="99"/>
      <c r="F374" s="99"/>
      <c r="G374" s="99"/>
      <c r="H374" s="99"/>
      <c r="I374" s="99"/>
      <c r="J374" s="99"/>
      <c r="K374" s="99"/>
      <c r="L374" s="99"/>
      <c r="M374" s="99"/>
      <c r="N374" s="99"/>
    </row>
    <row r="375" spans="2:14" x14ac:dyDescent="0.25">
      <c r="B375" s="99"/>
      <c r="C375" s="99"/>
      <c r="D375" s="99"/>
      <c r="E375" s="99"/>
      <c r="F375" s="99"/>
      <c r="G375" s="99"/>
      <c r="H375" s="99"/>
      <c r="I375" s="99"/>
      <c r="J375" s="99"/>
      <c r="K375" s="99"/>
      <c r="L375" s="99"/>
      <c r="M375" s="99"/>
      <c r="N375" s="99"/>
    </row>
    <row r="376" spans="2:14" x14ac:dyDescent="0.25">
      <c r="B376" s="99"/>
      <c r="C376" s="99"/>
      <c r="D376" s="99"/>
      <c r="E376" s="99"/>
      <c r="F376" s="99"/>
      <c r="G376" s="99"/>
      <c r="H376" s="99"/>
      <c r="I376" s="99"/>
      <c r="J376" s="99"/>
      <c r="K376" s="99"/>
      <c r="L376" s="99"/>
      <c r="M376" s="99"/>
      <c r="N376" s="99"/>
    </row>
    <row r="377" spans="2:14" x14ac:dyDescent="0.25">
      <c r="B377" s="99"/>
      <c r="C377" s="99"/>
      <c r="D377" s="99"/>
      <c r="E377" s="99"/>
      <c r="F377" s="99"/>
      <c r="G377" s="99"/>
      <c r="H377" s="99"/>
      <c r="I377" s="99"/>
      <c r="J377" s="99"/>
      <c r="K377" s="99"/>
      <c r="L377" s="99"/>
      <c r="M377" s="99"/>
      <c r="N377" s="99"/>
    </row>
    <row r="378" spans="2:14" x14ac:dyDescent="0.25">
      <c r="B378" s="99"/>
      <c r="C378" s="99"/>
      <c r="D378" s="99"/>
      <c r="E378" s="99"/>
      <c r="F378" s="99"/>
      <c r="G378" s="99"/>
      <c r="H378" s="99"/>
      <c r="I378" s="99"/>
      <c r="J378" s="99"/>
      <c r="K378" s="99"/>
      <c r="L378" s="99"/>
      <c r="M378" s="99"/>
      <c r="N378" s="99"/>
    </row>
    <row r="379" spans="2:14" x14ac:dyDescent="0.25">
      <c r="B379" s="99"/>
      <c r="C379" s="99"/>
      <c r="D379" s="99"/>
      <c r="E379" s="99"/>
      <c r="F379" s="99"/>
      <c r="G379" s="99"/>
      <c r="H379" s="99"/>
      <c r="I379" s="99"/>
      <c r="J379" s="99"/>
      <c r="K379" s="99"/>
      <c r="L379" s="99"/>
      <c r="M379" s="99"/>
      <c r="N379" s="99"/>
    </row>
    <row r="380" spans="2:14" x14ac:dyDescent="0.25">
      <c r="B380" s="99"/>
      <c r="C380" s="99"/>
      <c r="D380" s="99"/>
      <c r="E380" s="99"/>
      <c r="F380" s="99"/>
      <c r="G380" s="99"/>
      <c r="H380" s="99"/>
      <c r="I380" s="99"/>
      <c r="J380" s="99"/>
      <c r="K380" s="99"/>
      <c r="L380" s="99"/>
      <c r="M380" s="99"/>
      <c r="N380" s="99"/>
    </row>
    <row r="381" spans="2:14" x14ac:dyDescent="0.25">
      <c r="B381" s="99"/>
      <c r="C381" s="99"/>
      <c r="D381" s="99"/>
      <c r="E381" s="99"/>
      <c r="F381" s="99"/>
      <c r="G381" s="99"/>
      <c r="H381" s="99"/>
      <c r="I381" s="99"/>
      <c r="J381" s="99"/>
      <c r="K381" s="99"/>
      <c r="L381" s="99"/>
      <c r="M381" s="99"/>
      <c r="N381" s="99"/>
    </row>
    <row r="382" spans="2:14" x14ac:dyDescent="0.25">
      <c r="B382" s="99"/>
      <c r="C382" s="99"/>
      <c r="D382" s="99"/>
      <c r="E382" s="99"/>
      <c r="F382" s="99"/>
      <c r="G382" s="99"/>
      <c r="H382" s="99"/>
      <c r="I382" s="99"/>
      <c r="J382" s="99"/>
      <c r="K382" s="99"/>
      <c r="L382" s="99"/>
      <c r="M382" s="99"/>
      <c r="N382" s="99"/>
    </row>
    <row r="383" spans="2:14" x14ac:dyDescent="0.25">
      <c r="B383" s="99"/>
      <c r="C383" s="99"/>
      <c r="D383" s="99"/>
      <c r="E383" s="99"/>
      <c r="F383" s="99"/>
      <c r="G383" s="99"/>
      <c r="H383" s="99"/>
      <c r="I383" s="99"/>
      <c r="J383" s="99"/>
      <c r="K383" s="99"/>
      <c r="L383" s="99"/>
      <c r="M383" s="99"/>
      <c r="N383" s="99"/>
    </row>
    <row r="384" spans="2:14" x14ac:dyDescent="0.25">
      <c r="B384" s="99"/>
      <c r="C384" s="99"/>
      <c r="D384" s="99"/>
      <c r="E384" s="99"/>
      <c r="F384" s="99"/>
      <c r="G384" s="99"/>
      <c r="H384" s="99"/>
      <c r="I384" s="99"/>
      <c r="J384" s="99"/>
      <c r="K384" s="99"/>
      <c r="L384" s="99"/>
      <c r="M384" s="99"/>
      <c r="N384" s="99"/>
    </row>
  </sheetData>
  <mergeCells count="212">
    <mergeCell ref="D49:O49"/>
    <mergeCell ref="D50:O50"/>
    <mergeCell ref="D51:O51"/>
    <mergeCell ref="D52:O52"/>
    <mergeCell ref="D53:O53"/>
    <mergeCell ref="D54:O54"/>
    <mergeCell ref="D55:O55"/>
    <mergeCell ref="D41:O41"/>
    <mergeCell ref="D42:O42"/>
    <mergeCell ref="D46:O46"/>
    <mergeCell ref="D47:O47"/>
    <mergeCell ref="D43:O43"/>
    <mergeCell ref="D44:O44"/>
    <mergeCell ref="D56:O68"/>
    <mergeCell ref="D69:O69"/>
    <mergeCell ref="D36:O39"/>
    <mergeCell ref="D35:O35"/>
    <mergeCell ref="D16:O16"/>
    <mergeCell ref="D17:O17"/>
    <mergeCell ref="D18:O18"/>
    <mergeCell ref="D19:O19"/>
    <mergeCell ref="D20:O20"/>
    <mergeCell ref="D21:O21"/>
    <mergeCell ref="D22:O22"/>
    <mergeCell ref="D23:O23"/>
    <mergeCell ref="D24:O24"/>
    <mergeCell ref="D26:O26"/>
    <mergeCell ref="D27:O27"/>
    <mergeCell ref="D28:O28"/>
    <mergeCell ref="D29:O29"/>
    <mergeCell ref="D30:O30"/>
    <mergeCell ref="D31:O31"/>
    <mergeCell ref="D32:O32"/>
    <mergeCell ref="D33:O33"/>
    <mergeCell ref="D34:O34"/>
    <mergeCell ref="D25:O25"/>
    <mergeCell ref="D48:O48"/>
    <mergeCell ref="D7:O9"/>
    <mergeCell ref="D13:O13"/>
    <mergeCell ref="D14:O14"/>
    <mergeCell ref="D15:O15"/>
    <mergeCell ref="B2:C2"/>
    <mergeCell ref="B3:C3"/>
    <mergeCell ref="B4:C4"/>
    <mergeCell ref="B5:C5"/>
    <mergeCell ref="B6:C6"/>
    <mergeCell ref="D3:O3"/>
    <mergeCell ref="D4:O4"/>
    <mergeCell ref="D5:O5"/>
    <mergeCell ref="D6:O6"/>
    <mergeCell ref="D2:O2"/>
    <mergeCell ref="B14:C14"/>
    <mergeCell ref="B15:C15"/>
    <mergeCell ref="B11:C11"/>
    <mergeCell ref="D10:O12"/>
    <mergeCell ref="B16:C16"/>
    <mergeCell ref="B17:C17"/>
    <mergeCell ref="B18:C18"/>
    <mergeCell ref="B7:C7"/>
    <mergeCell ref="B8:C8"/>
    <mergeCell ref="B9:C9"/>
    <mergeCell ref="B10:C10"/>
    <mergeCell ref="B12:C12"/>
    <mergeCell ref="B13:C13"/>
    <mergeCell ref="B35:C35"/>
    <mergeCell ref="B36:C36"/>
    <mergeCell ref="B37:C37"/>
    <mergeCell ref="B24:C24"/>
    <mergeCell ref="B26:C26"/>
    <mergeCell ref="B19:C19"/>
    <mergeCell ref="B20:C20"/>
    <mergeCell ref="B21:C21"/>
    <mergeCell ref="B22:C22"/>
    <mergeCell ref="B23:C23"/>
    <mergeCell ref="B29:C29"/>
    <mergeCell ref="B30:C30"/>
    <mergeCell ref="B31:C31"/>
    <mergeCell ref="B32:C32"/>
    <mergeCell ref="B33:C33"/>
    <mergeCell ref="B34:C34"/>
    <mergeCell ref="B27:C27"/>
    <mergeCell ref="B28:C28"/>
    <mergeCell ref="B25:C25"/>
    <mergeCell ref="B41:C41"/>
    <mergeCell ref="B42:C42"/>
    <mergeCell ref="B43:C43"/>
    <mergeCell ref="B44:C44"/>
    <mergeCell ref="B45:C45"/>
    <mergeCell ref="B46:C46"/>
    <mergeCell ref="B38:C38"/>
    <mergeCell ref="B39:C39"/>
    <mergeCell ref="B40:C40"/>
    <mergeCell ref="B53:C53"/>
    <mergeCell ref="B54:C54"/>
    <mergeCell ref="B55:C55"/>
    <mergeCell ref="B56:C56"/>
    <mergeCell ref="B57:C57"/>
    <mergeCell ref="B58:C58"/>
    <mergeCell ref="B47:C47"/>
    <mergeCell ref="B48:C48"/>
    <mergeCell ref="B49:C49"/>
    <mergeCell ref="B50:C50"/>
    <mergeCell ref="B51:C51"/>
    <mergeCell ref="B52:C52"/>
    <mergeCell ref="B65:C65"/>
    <mergeCell ref="B66:C66"/>
    <mergeCell ref="B67:C67"/>
    <mergeCell ref="B68:C68"/>
    <mergeCell ref="B69:C69"/>
    <mergeCell ref="B82:C82"/>
    <mergeCell ref="B59:C59"/>
    <mergeCell ref="B60:C60"/>
    <mergeCell ref="B61:C61"/>
    <mergeCell ref="B62:C62"/>
    <mergeCell ref="B63:C63"/>
    <mergeCell ref="B64:C64"/>
    <mergeCell ref="B73:C73"/>
    <mergeCell ref="B74:C74"/>
    <mergeCell ref="B75:C75"/>
    <mergeCell ref="B76:C76"/>
    <mergeCell ref="B77:C77"/>
    <mergeCell ref="B78:C78"/>
    <mergeCell ref="B72:C72"/>
    <mergeCell ref="D104:O104"/>
    <mergeCell ref="D103:O103"/>
    <mergeCell ref="D97:O97"/>
    <mergeCell ref="D98:O98"/>
    <mergeCell ref="D99:O99"/>
    <mergeCell ref="D100:O100"/>
    <mergeCell ref="D101:O101"/>
    <mergeCell ref="B83:C83"/>
    <mergeCell ref="B84:C84"/>
    <mergeCell ref="B97:C97"/>
    <mergeCell ref="B98:C98"/>
    <mergeCell ref="B99:C99"/>
    <mergeCell ref="B100:C100"/>
    <mergeCell ref="B101:C101"/>
    <mergeCell ref="B102:C102"/>
    <mergeCell ref="B103:C103"/>
    <mergeCell ref="B104:C104"/>
    <mergeCell ref="D88:O88"/>
    <mergeCell ref="D87:O87"/>
    <mergeCell ref="D86:O86"/>
    <mergeCell ref="D40:O40"/>
    <mergeCell ref="D45:O45"/>
    <mergeCell ref="B108:C108"/>
    <mergeCell ref="B109:C109"/>
    <mergeCell ref="B110:C110"/>
    <mergeCell ref="B111:C111"/>
    <mergeCell ref="B91:C91"/>
    <mergeCell ref="B92:C92"/>
    <mergeCell ref="B93:C93"/>
    <mergeCell ref="B94:C94"/>
    <mergeCell ref="B95:C95"/>
    <mergeCell ref="B96:C96"/>
    <mergeCell ref="B85:C85"/>
    <mergeCell ref="B86:C86"/>
    <mergeCell ref="B87:C87"/>
    <mergeCell ref="B88:C88"/>
    <mergeCell ref="B89:C89"/>
    <mergeCell ref="B90:C90"/>
    <mergeCell ref="B79:C79"/>
    <mergeCell ref="B80:C80"/>
    <mergeCell ref="B81:C81"/>
    <mergeCell ref="D70:O70"/>
    <mergeCell ref="B70:C70"/>
    <mergeCell ref="B71:C71"/>
    <mergeCell ref="D71:O71"/>
    <mergeCell ref="D102:O102"/>
    <mergeCell ref="D72:O72"/>
    <mergeCell ref="D73:O73"/>
    <mergeCell ref="D74:O74"/>
    <mergeCell ref="D75:O75"/>
    <mergeCell ref="D76:O76"/>
    <mergeCell ref="D77:O77"/>
    <mergeCell ref="D78:O78"/>
    <mergeCell ref="D79:O79"/>
    <mergeCell ref="D80:O80"/>
    <mergeCell ref="D89:O89"/>
    <mergeCell ref="D90:O90"/>
    <mergeCell ref="D91:O91"/>
    <mergeCell ref="D92:O92"/>
    <mergeCell ref="D93:O93"/>
    <mergeCell ref="D94:O94"/>
    <mergeCell ref="D95:O95"/>
    <mergeCell ref="D96:O96"/>
    <mergeCell ref="D81:O81"/>
    <mergeCell ref="D82:O82"/>
    <mergeCell ref="D83:O83"/>
    <mergeCell ref="D84:O84"/>
    <mergeCell ref="D85:O85"/>
    <mergeCell ref="B117:O130"/>
    <mergeCell ref="D114:O114"/>
    <mergeCell ref="D115:O115"/>
    <mergeCell ref="D116:O116"/>
    <mergeCell ref="D105:O105"/>
    <mergeCell ref="D106:O106"/>
    <mergeCell ref="D107:O107"/>
    <mergeCell ref="D108:O108"/>
    <mergeCell ref="D109:O109"/>
    <mergeCell ref="D110:O110"/>
    <mergeCell ref="D111:O111"/>
    <mergeCell ref="D112:O112"/>
    <mergeCell ref="D113:O113"/>
    <mergeCell ref="B115:C115"/>
    <mergeCell ref="B116:C116"/>
    <mergeCell ref="B106:C106"/>
    <mergeCell ref="B107:C107"/>
    <mergeCell ref="B114:C114"/>
    <mergeCell ref="B112:C112"/>
    <mergeCell ref="B113:C113"/>
    <mergeCell ref="B105:C10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workbookViewId="0">
      <selection sqref="A1:G15"/>
    </sheetView>
  </sheetViews>
  <sheetFormatPr baseColWidth="10" defaultRowHeight="15" x14ac:dyDescent="0.25"/>
  <cols>
    <col min="1" max="1" width="4.28515625" customWidth="1"/>
    <col min="2" max="2" width="4.5703125" bestFit="1" customWidth="1"/>
    <col min="3" max="3" width="32.85546875" bestFit="1" customWidth="1"/>
    <col min="4" max="4" width="18.28515625" bestFit="1" customWidth="1"/>
    <col min="5" max="5" width="14.140625" bestFit="1" customWidth="1"/>
    <col min="6" max="6" width="13.42578125" bestFit="1" customWidth="1"/>
    <col min="7" max="7" width="12.85546875" bestFit="1" customWidth="1"/>
    <col min="12" max="12" width="42.42578125" customWidth="1"/>
  </cols>
  <sheetData>
    <row r="1" spans="1:12" ht="15.75" thickBot="1" x14ac:dyDescent="0.3">
      <c r="A1" s="237" t="s">
        <v>0</v>
      </c>
      <c r="B1" s="238"/>
      <c r="C1" s="238"/>
      <c r="D1" s="238"/>
      <c r="E1" s="238"/>
      <c r="F1" s="238"/>
      <c r="G1" s="239"/>
    </row>
    <row r="2" spans="1:12" x14ac:dyDescent="0.25">
      <c r="A2" s="240" t="s">
        <v>1</v>
      </c>
      <c r="B2" s="241"/>
      <c r="C2" s="230" t="s">
        <v>2</v>
      </c>
      <c r="D2" s="119" t="s">
        <v>3</v>
      </c>
      <c r="E2" s="120" t="s">
        <v>4</v>
      </c>
      <c r="F2" s="120" t="s">
        <v>5</v>
      </c>
      <c r="G2" s="121" t="s">
        <v>6</v>
      </c>
    </row>
    <row r="3" spans="1:12" ht="15.75" thickBot="1" x14ac:dyDescent="0.3">
      <c r="A3" s="242"/>
      <c r="B3" s="243"/>
      <c r="C3" s="231"/>
      <c r="D3" s="122" t="s">
        <v>7</v>
      </c>
      <c r="E3" s="123" t="s">
        <v>8</v>
      </c>
      <c r="F3" s="123" t="s">
        <v>9</v>
      </c>
      <c r="G3" s="124" t="s">
        <v>10</v>
      </c>
    </row>
    <row r="4" spans="1:12" x14ac:dyDescent="0.25">
      <c r="A4" s="125"/>
      <c r="B4" s="126"/>
      <c r="C4" s="244" t="s">
        <v>11</v>
      </c>
      <c r="D4" s="245"/>
      <c r="E4" s="245"/>
      <c r="F4" s="245"/>
      <c r="G4" s="246"/>
    </row>
    <row r="5" spans="1:12" s="98" customFormat="1" x14ac:dyDescent="0.25">
      <c r="A5" s="200"/>
      <c r="B5" s="201">
        <v>1</v>
      </c>
      <c r="C5" s="221" t="s">
        <v>51</v>
      </c>
      <c r="D5" s="222">
        <f>1135.74/4416.7</f>
        <v>0.25714673851518105</v>
      </c>
      <c r="E5" s="223">
        <f>D23*D5</f>
        <v>9000.1358480313374</v>
      </c>
      <c r="F5" s="224">
        <v>4.78</v>
      </c>
      <c r="G5" s="222">
        <f>F5*E5</f>
        <v>43020.649353589797</v>
      </c>
    </row>
    <row r="6" spans="1:12" x14ac:dyDescent="0.25">
      <c r="A6" s="2"/>
      <c r="B6" s="5">
        <v>2</v>
      </c>
      <c r="C6" s="1" t="s">
        <v>12</v>
      </c>
      <c r="D6" s="202">
        <f>937.42/4416.7</f>
        <v>0.21224443589104988</v>
      </c>
      <c r="E6" s="203">
        <f>D6*D23</f>
        <v>7428.5552561867462</v>
      </c>
      <c r="F6" s="70">
        <f>380*15</f>
        <v>5700</v>
      </c>
      <c r="G6" s="110">
        <f>(E6*F6)/1000</f>
        <v>42342.764960264452</v>
      </c>
      <c r="L6" s="67"/>
    </row>
    <row r="7" spans="1:12" ht="15.75" thickBot="1" x14ac:dyDescent="0.3">
      <c r="A7" s="2"/>
      <c r="B7" s="5">
        <v>3</v>
      </c>
      <c r="C7" s="106" t="s">
        <v>31</v>
      </c>
      <c r="D7" s="204">
        <f>2343.54/4416.7</f>
        <v>0.5306088255937691</v>
      </c>
      <c r="E7" s="206">
        <f>D23*D7</f>
        <v>18571.30889578192</v>
      </c>
      <c r="F7" s="107">
        <f>170*15</f>
        <v>2550</v>
      </c>
      <c r="G7" s="111">
        <f>(F7*E7)/1000</f>
        <v>47356.837684243896</v>
      </c>
      <c r="L7" s="67"/>
    </row>
    <row r="8" spans="1:12" ht="15.75" thickBot="1" x14ac:dyDescent="0.3">
      <c r="A8" s="2">
        <v>4</v>
      </c>
      <c r="B8" s="5"/>
      <c r="C8" s="232" t="s">
        <v>13</v>
      </c>
      <c r="D8" s="233"/>
      <c r="E8" s="233"/>
      <c r="F8" s="234"/>
      <c r="G8" s="112">
        <f>SUM(G5:G7)</f>
        <v>132720.25199809813</v>
      </c>
    </row>
    <row r="9" spans="1:12" x14ac:dyDescent="0.25">
      <c r="A9" s="2">
        <v>5</v>
      </c>
      <c r="B9" s="5"/>
      <c r="C9" s="235" t="s">
        <v>14</v>
      </c>
      <c r="D9" s="235"/>
      <c r="E9" s="235"/>
      <c r="F9" s="235"/>
      <c r="G9" s="236"/>
      <c r="I9" s="205"/>
    </row>
    <row r="10" spans="1:12" ht="15.75" thickBot="1" x14ac:dyDescent="0.3">
      <c r="A10" s="2"/>
      <c r="B10" s="5">
        <v>6</v>
      </c>
      <c r="C10" s="7"/>
      <c r="D10" s="7"/>
      <c r="E10" s="7"/>
      <c r="F10" s="7"/>
      <c r="G10" s="3">
        <v>0</v>
      </c>
    </row>
    <row r="11" spans="1:12" ht="15.75" thickBot="1" x14ac:dyDescent="0.3">
      <c r="A11" s="2">
        <v>7</v>
      </c>
      <c r="B11" s="5"/>
      <c r="C11" s="232" t="s">
        <v>15</v>
      </c>
      <c r="D11" s="233"/>
      <c r="E11" s="233"/>
      <c r="F11" s="234"/>
      <c r="G11" s="113">
        <v>0</v>
      </c>
    </row>
    <row r="12" spans="1:12" x14ac:dyDescent="0.25">
      <c r="A12" s="2">
        <v>8</v>
      </c>
      <c r="B12" s="5"/>
      <c r="C12" s="235" t="s">
        <v>16</v>
      </c>
      <c r="D12" s="235"/>
      <c r="E12" s="235"/>
      <c r="F12" s="235"/>
      <c r="G12" s="236"/>
    </row>
    <row r="13" spans="1:12" ht="15.75" thickBot="1" x14ac:dyDescent="0.3">
      <c r="A13" s="2"/>
      <c r="B13" s="5">
        <v>9</v>
      </c>
      <c r="C13" s="7"/>
      <c r="D13" s="7"/>
      <c r="E13" s="7"/>
      <c r="F13" s="7"/>
      <c r="G13" s="3">
        <v>0</v>
      </c>
    </row>
    <row r="14" spans="1:12" ht="15.75" thickBot="1" x14ac:dyDescent="0.3">
      <c r="A14" s="2">
        <v>10</v>
      </c>
      <c r="B14" s="5"/>
      <c r="C14" s="232" t="s">
        <v>17</v>
      </c>
      <c r="D14" s="233"/>
      <c r="E14" s="233"/>
      <c r="F14" s="234"/>
      <c r="G14" s="113">
        <v>0</v>
      </c>
    </row>
    <row r="15" spans="1:12" ht="15.75" thickBot="1" x14ac:dyDescent="0.3">
      <c r="A15" s="4">
        <v>11</v>
      </c>
      <c r="B15" s="6"/>
      <c r="C15" s="256" t="s">
        <v>18</v>
      </c>
      <c r="D15" s="256"/>
      <c r="E15" s="256"/>
      <c r="F15" s="256"/>
      <c r="G15" s="114">
        <f>G5+G6+G7</f>
        <v>132720.25199809813</v>
      </c>
    </row>
    <row r="16" spans="1:12" ht="15.75" thickBot="1" x14ac:dyDescent="0.3"/>
    <row r="17" spans="1:7" ht="15.75" thickBot="1" x14ac:dyDescent="0.3">
      <c r="A17" s="253" t="s">
        <v>25</v>
      </c>
      <c r="B17" s="254"/>
      <c r="C17" s="254"/>
      <c r="D17" s="254"/>
      <c r="E17" s="255"/>
      <c r="F17" s="8"/>
      <c r="G17" s="8"/>
    </row>
    <row r="18" spans="1:7" x14ac:dyDescent="0.25">
      <c r="A18" s="9"/>
      <c r="B18" s="10">
        <v>12</v>
      </c>
      <c r="C18" s="10" t="s">
        <v>26</v>
      </c>
      <c r="D18" s="10">
        <v>106</v>
      </c>
      <c r="E18" s="11" t="s">
        <v>27</v>
      </c>
    </row>
    <row r="19" spans="1:7" x14ac:dyDescent="0.25">
      <c r="A19" s="2"/>
      <c r="B19" s="1">
        <v>13</v>
      </c>
      <c r="C19" s="1" t="s">
        <v>22</v>
      </c>
      <c r="D19" s="70">
        <v>11</v>
      </c>
      <c r="E19" s="3" t="s">
        <v>28</v>
      </c>
    </row>
    <row r="20" spans="1:7" x14ac:dyDescent="0.25">
      <c r="A20" s="247">
        <v>14</v>
      </c>
      <c r="B20" s="249"/>
      <c r="C20" s="251" t="s">
        <v>21</v>
      </c>
      <c r="D20" s="115">
        <f>D19*D18</f>
        <v>1166</v>
      </c>
      <c r="E20" s="116" t="s">
        <v>29</v>
      </c>
    </row>
    <row r="21" spans="1:7" ht="15.75" thickBot="1" x14ac:dyDescent="0.3">
      <c r="A21" s="248"/>
      <c r="B21" s="250"/>
      <c r="C21" s="252"/>
      <c r="D21" s="117">
        <f>D20*300</f>
        <v>349800</v>
      </c>
      <c r="E21" s="118" t="s">
        <v>30</v>
      </c>
    </row>
    <row r="22" spans="1:7" ht="15.75" thickBot="1" x14ac:dyDescent="0.3"/>
    <row r="23" spans="1:7" ht="15.75" thickBot="1" x14ac:dyDescent="0.3">
      <c r="C23" s="127" t="s">
        <v>19</v>
      </c>
      <c r="D23" s="128">
        <v>35000</v>
      </c>
      <c r="E23" s="129" t="s">
        <v>20</v>
      </c>
    </row>
  </sheetData>
  <mergeCells count="14">
    <mergeCell ref="A20:A21"/>
    <mergeCell ref="B20:B21"/>
    <mergeCell ref="C20:C21"/>
    <mergeCell ref="A17:E17"/>
    <mergeCell ref="C15:F15"/>
    <mergeCell ref="C2:C3"/>
    <mergeCell ref="C11:F11"/>
    <mergeCell ref="C12:G12"/>
    <mergeCell ref="C14:F14"/>
    <mergeCell ref="A1:G1"/>
    <mergeCell ref="A2:B3"/>
    <mergeCell ref="C4:G4"/>
    <mergeCell ref="C8:F8"/>
    <mergeCell ref="C9:G9"/>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1"/>
  <sheetViews>
    <sheetView workbookViewId="0">
      <selection sqref="A1:K30"/>
    </sheetView>
  </sheetViews>
  <sheetFormatPr baseColWidth="10" defaultRowHeight="15" x14ac:dyDescent="0.25"/>
  <cols>
    <col min="1" max="1" width="1.85546875" style="225" customWidth="1"/>
    <col min="4" max="4" width="15.85546875" bestFit="1" customWidth="1"/>
    <col min="6" max="6" width="14" bestFit="1" customWidth="1"/>
    <col min="11" max="11" width="13.5703125" bestFit="1" customWidth="1"/>
    <col min="12" max="12" width="5.28515625" style="225" customWidth="1"/>
  </cols>
  <sheetData>
    <row r="1" spans="2:23" s="225" customFormat="1" ht="9" customHeight="1" thickBot="1" x14ac:dyDescent="0.3"/>
    <row r="2" spans="2:23" ht="15.75" thickBot="1" x14ac:dyDescent="0.3">
      <c r="B2" s="261" t="s">
        <v>32</v>
      </c>
      <c r="C2" s="262"/>
      <c r="D2" s="262"/>
      <c r="E2" s="262"/>
      <c r="F2" s="262"/>
      <c r="G2" s="262"/>
      <c r="H2" s="262"/>
      <c r="I2" s="262"/>
      <c r="J2" s="262"/>
      <c r="K2" s="263"/>
    </row>
    <row r="3" spans="2:23" x14ac:dyDescent="0.25">
      <c r="B3" s="264" t="s">
        <v>33</v>
      </c>
      <c r="C3" s="265"/>
      <c r="D3" s="268" t="s">
        <v>34</v>
      </c>
      <c r="E3" s="268" t="s">
        <v>35</v>
      </c>
      <c r="F3" s="268"/>
      <c r="G3" s="270" t="s">
        <v>36</v>
      </c>
      <c r="H3" s="271"/>
      <c r="I3" s="270" t="s">
        <v>37</v>
      </c>
      <c r="J3" s="271"/>
      <c r="K3" s="130" t="s">
        <v>38</v>
      </c>
    </row>
    <row r="4" spans="2:23" ht="15.75" thickBot="1" x14ac:dyDescent="0.3">
      <c r="B4" s="266"/>
      <c r="C4" s="267"/>
      <c r="D4" s="269"/>
      <c r="E4" s="131" t="s">
        <v>39</v>
      </c>
      <c r="F4" s="131" t="s">
        <v>40</v>
      </c>
      <c r="G4" s="131" t="s">
        <v>39</v>
      </c>
      <c r="H4" s="131" t="s">
        <v>40</v>
      </c>
      <c r="I4" s="131" t="s">
        <v>41</v>
      </c>
      <c r="J4" s="131" t="s">
        <v>40</v>
      </c>
      <c r="K4" s="132" t="s">
        <v>42</v>
      </c>
    </row>
    <row r="5" spans="2:23" s="225" customFormat="1" ht="15.75" thickBot="1" x14ac:dyDescent="0.3">
      <c r="B5" s="272"/>
      <c r="C5" s="272"/>
      <c r="D5" s="272"/>
      <c r="E5" s="272"/>
      <c r="F5" s="272"/>
      <c r="G5" s="272"/>
      <c r="H5" s="272"/>
      <c r="I5" s="272"/>
      <c r="J5" s="272"/>
      <c r="K5" s="272"/>
    </row>
    <row r="6" spans="2:23" ht="15.75" thickBot="1" x14ac:dyDescent="0.3">
      <c r="B6" s="139">
        <v>15</v>
      </c>
      <c r="C6" s="133"/>
      <c r="D6" s="273" t="s">
        <v>43</v>
      </c>
      <c r="E6" s="274"/>
      <c r="F6" s="274"/>
      <c r="G6" s="274"/>
      <c r="H6" s="274"/>
      <c r="I6" s="274"/>
      <c r="J6" s="274"/>
      <c r="K6" s="275"/>
    </row>
    <row r="7" spans="2:23" ht="15.75" thickBot="1" x14ac:dyDescent="0.3">
      <c r="B7" s="140">
        <v>16</v>
      </c>
      <c r="C7" s="141"/>
      <c r="D7" s="276" t="s">
        <v>44</v>
      </c>
      <c r="E7" s="277"/>
      <c r="F7" s="277"/>
      <c r="G7" s="277"/>
      <c r="H7" s="277"/>
      <c r="I7" s="277"/>
      <c r="J7" s="277"/>
      <c r="K7" s="278"/>
    </row>
    <row r="8" spans="2:23" x14ac:dyDescent="0.25">
      <c r="B8" s="12"/>
      <c r="C8" s="218">
        <v>17</v>
      </c>
      <c r="D8" s="108" t="s">
        <v>45</v>
      </c>
      <c r="E8" s="219">
        <v>60</v>
      </c>
      <c r="F8" s="108" t="s">
        <v>46</v>
      </c>
      <c r="G8" s="220">
        <f>E8*'costo de mp y montos de venta'!D23</f>
        <v>2100000</v>
      </c>
      <c r="H8" s="108" t="s">
        <v>47</v>
      </c>
      <c r="I8" s="219">
        <v>1.24028</v>
      </c>
      <c r="J8" s="108" t="s">
        <v>48</v>
      </c>
      <c r="K8" s="109">
        <f>I8*G8/1000</f>
        <v>2604.5880000000002</v>
      </c>
      <c r="L8" s="257" t="s">
        <v>251</v>
      </c>
      <c r="M8" s="258"/>
      <c r="N8" s="258"/>
      <c r="O8" s="258"/>
      <c r="P8" s="258"/>
      <c r="Q8" s="258"/>
      <c r="R8" s="258"/>
      <c r="S8" s="258"/>
      <c r="T8" s="258"/>
      <c r="U8" s="258"/>
      <c r="V8" s="258"/>
      <c r="W8" s="259"/>
    </row>
    <row r="9" spans="2:23" x14ac:dyDescent="0.25">
      <c r="B9" s="12"/>
      <c r="C9" s="15">
        <v>18</v>
      </c>
      <c r="D9" s="16" t="s">
        <v>50</v>
      </c>
      <c r="E9" s="17">
        <v>1.7000000000000001E-2</v>
      </c>
      <c r="F9" s="16" t="s">
        <v>49</v>
      </c>
      <c r="G9" s="17">
        <f>E9*35000</f>
        <v>595</v>
      </c>
      <c r="H9" s="16" t="s">
        <v>23</v>
      </c>
      <c r="I9" s="17">
        <v>35.83</v>
      </c>
      <c r="J9" s="16" t="s">
        <v>24</v>
      </c>
      <c r="K9" s="18">
        <f>I9*G9/1000</f>
        <v>21.318849999999998</v>
      </c>
      <c r="L9" s="257"/>
      <c r="M9" s="258"/>
      <c r="N9" s="258"/>
      <c r="O9" s="258"/>
      <c r="P9" s="258"/>
      <c r="Q9" s="258"/>
      <c r="R9" s="258"/>
      <c r="S9" s="258"/>
      <c r="T9" s="258"/>
      <c r="U9" s="258"/>
      <c r="V9" s="258"/>
      <c r="W9" s="259"/>
    </row>
    <row r="10" spans="2:23" ht="15.75" thickBot="1" x14ac:dyDescent="0.3">
      <c r="B10" s="19"/>
      <c r="C10" s="20">
        <v>19</v>
      </c>
      <c r="D10" s="21" t="s">
        <v>51</v>
      </c>
      <c r="E10" s="22">
        <v>1.38</v>
      </c>
      <c r="F10" s="21" t="s">
        <v>49</v>
      </c>
      <c r="G10" s="20">
        <f>E10*35000</f>
        <v>48299.999999999993</v>
      </c>
      <c r="H10" s="21" t="s">
        <v>23</v>
      </c>
      <c r="I10" s="23">
        <v>4.7750000000000004</v>
      </c>
      <c r="J10" s="21" t="s">
        <v>24</v>
      </c>
      <c r="K10" s="24">
        <f>I10*G10/1000</f>
        <v>230.63249999999996</v>
      </c>
    </row>
    <row r="11" spans="2:23" s="225" customFormat="1" ht="15.75" thickBot="1" x14ac:dyDescent="0.3">
      <c r="B11" s="279"/>
      <c r="C11" s="279"/>
      <c r="D11" s="279"/>
      <c r="E11" s="279"/>
      <c r="F11" s="279"/>
      <c r="G11" s="279"/>
      <c r="H11" s="279"/>
      <c r="I11" s="279"/>
      <c r="J11" s="279"/>
      <c r="K11" s="279"/>
    </row>
    <row r="12" spans="2:23" ht="15.75" thickBot="1" x14ac:dyDescent="0.3">
      <c r="B12" s="142">
        <v>20</v>
      </c>
      <c r="C12" s="143"/>
      <c r="D12" s="280" t="s">
        <v>52</v>
      </c>
      <c r="E12" s="281"/>
      <c r="F12" s="281"/>
      <c r="G12" s="281"/>
      <c r="H12" s="281"/>
      <c r="I12" s="281"/>
      <c r="J12" s="282"/>
      <c r="K12" s="144">
        <f>SUM(K8:K10)</f>
        <v>2856.5393500000005</v>
      </c>
    </row>
    <row r="13" spans="2:23" ht="15.75" thickBot="1" x14ac:dyDescent="0.3">
      <c r="B13" s="260"/>
      <c r="C13" s="260"/>
      <c r="D13" s="260"/>
      <c r="E13" s="260"/>
      <c r="F13" s="260"/>
      <c r="G13" s="260"/>
      <c r="H13" s="260"/>
      <c r="I13" s="260"/>
      <c r="J13" s="260"/>
      <c r="K13" s="260"/>
    </row>
    <row r="14" spans="2:23" x14ac:dyDescent="0.25">
      <c r="B14" s="25"/>
      <c r="C14" s="26">
        <v>21</v>
      </c>
      <c r="D14" s="284" t="s">
        <v>53</v>
      </c>
      <c r="E14" s="284"/>
      <c r="F14" s="284"/>
      <c r="G14" s="284"/>
      <c r="H14" s="284"/>
      <c r="I14" s="284"/>
      <c r="J14" s="284"/>
      <c r="K14" s="44">
        <f>'PLANILLA DE PERSONAL'!C25</f>
        <v>3816</v>
      </c>
    </row>
    <row r="15" spans="2:23" x14ac:dyDescent="0.25">
      <c r="B15" s="14"/>
      <c r="C15" s="27">
        <v>22</v>
      </c>
      <c r="D15" s="285" t="s">
        <v>54</v>
      </c>
      <c r="E15" s="285"/>
      <c r="F15" s="285"/>
      <c r="G15" s="285"/>
      <c r="H15" s="285"/>
      <c r="I15" s="285"/>
      <c r="J15" s="285"/>
      <c r="K15" s="68">
        <f>'PLANILLA DE PERSONAL'!C2+0.04*'Capital Fijo'!F31</f>
        <v>3309.1563375000005</v>
      </c>
    </row>
    <row r="16" spans="2:23" x14ac:dyDescent="0.25">
      <c r="B16" s="14"/>
      <c r="C16" s="27">
        <v>23</v>
      </c>
      <c r="D16" s="285" t="s">
        <v>55</v>
      </c>
      <c r="E16" s="285"/>
      <c r="F16" s="285"/>
      <c r="G16" s="285"/>
      <c r="H16" s="285"/>
      <c r="I16" s="285"/>
      <c r="J16" s="285"/>
      <c r="K16" s="28">
        <f>1.5*'PLANILLA DE PERSONAL'!C27</f>
        <v>270</v>
      </c>
    </row>
    <row r="17" spans="2:11" ht="15.75" thickBot="1" x14ac:dyDescent="0.3">
      <c r="B17" s="19"/>
      <c r="C17" s="20">
        <v>24</v>
      </c>
      <c r="D17" s="286" t="s">
        <v>56</v>
      </c>
      <c r="E17" s="286"/>
      <c r="F17" s="286"/>
      <c r="G17" s="286"/>
      <c r="H17" s="286"/>
      <c r="I17" s="286"/>
      <c r="J17" s="286"/>
      <c r="K17" s="29">
        <f>1.3*'PLANILLA DE PERSONAL'!C28</f>
        <v>468</v>
      </c>
    </row>
    <row r="18" spans="2:11" s="225" customFormat="1" ht="15.75" thickBot="1" x14ac:dyDescent="0.3">
      <c r="B18" s="279"/>
      <c r="C18" s="279"/>
      <c r="D18" s="279"/>
      <c r="E18" s="279"/>
      <c r="F18" s="279"/>
      <c r="G18" s="279"/>
      <c r="H18" s="279"/>
      <c r="I18" s="279"/>
      <c r="J18" s="279"/>
      <c r="K18" s="279"/>
    </row>
    <row r="19" spans="2:11" ht="15.75" thickBot="1" x14ac:dyDescent="0.3">
      <c r="B19" s="142">
        <v>25</v>
      </c>
      <c r="C19" s="143"/>
      <c r="D19" s="280" t="s">
        <v>57</v>
      </c>
      <c r="E19" s="281"/>
      <c r="F19" s="281"/>
      <c r="G19" s="281"/>
      <c r="H19" s="281"/>
      <c r="I19" s="281"/>
      <c r="J19" s="282"/>
      <c r="K19" s="144">
        <f>SUM(K12,K14:K17)</f>
        <v>10719.695687500001</v>
      </c>
    </row>
    <row r="20" spans="2:11" s="225" customFormat="1" ht="15.75" thickBot="1" x14ac:dyDescent="0.3">
      <c r="B20" s="279"/>
      <c r="C20" s="279"/>
      <c r="D20" s="279"/>
      <c r="E20" s="279"/>
      <c r="F20" s="279"/>
      <c r="G20" s="279"/>
      <c r="H20" s="279"/>
      <c r="I20" s="279"/>
      <c r="J20" s="279"/>
      <c r="K20" s="279"/>
    </row>
    <row r="21" spans="2:11" ht="15.75" thickBot="1" x14ac:dyDescent="0.3">
      <c r="B21" s="134">
        <v>26</v>
      </c>
      <c r="C21" s="135"/>
      <c r="D21" s="287" t="s">
        <v>58</v>
      </c>
      <c r="E21" s="287"/>
      <c r="F21" s="287"/>
      <c r="G21" s="287"/>
      <c r="H21" s="287"/>
      <c r="I21" s="287"/>
      <c r="J21" s="287"/>
      <c r="K21" s="288"/>
    </row>
    <row r="22" spans="2:11" x14ac:dyDescent="0.25">
      <c r="B22" s="30"/>
      <c r="C22" s="13">
        <v>27</v>
      </c>
      <c r="D22" s="289" t="s">
        <v>59</v>
      </c>
      <c r="E22" s="289"/>
      <c r="F22" s="289"/>
      <c r="G22" s="289"/>
      <c r="H22" s="289"/>
      <c r="I22" s="289"/>
      <c r="J22" s="289"/>
      <c r="K22" s="31">
        <f>('Capital Fijo'!F31-'Capital Fijo'!F22)/10</f>
        <v>6472.8908437500013</v>
      </c>
    </row>
    <row r="23" spans="2:11" x14ac:dyDescent="0.25">
      <c r="B23" s="14"/>
      <c r="C23" s="27">
        <v>28</v>
      </c>
      <c r="D23" s="283" t="s">
        <v>60</v>
      </c>
      <c r="E23" s="283"/>
      <c r="F23" s="283"/>
      <c r="G23" s="283"/>
      <c r="H23" s="283"/>
      <c r="I23" s="283"/>
      <c r="J23" s="283"/>
      <c r="K23" s="28">
        <f>0.05*'Capital Fijo'!F22</f>
        <v>900</v>
      </c>
    </row>
    <row r="24" spans="2:11" x14ac:dyDescent="0.25">
      <c r="B24" s="14"/>
      <c r="C24" s="27">
        <v>29</v>
      </c>
      <c r="D24" s="283" t="s">
        <v>61</v>
      </c>
      <c r="E24" s="283"/>
      <c r="F24" s="283"/>
      <c r="G24" s="283"/>
      <c r="H24" s="283"/>
      <c r="I24" s="283"/>
      <c r="J24" s="283"/>
      <c r="K24" s="28">
        <f>0.015*'Capital Fijo'!F31</f>
        <v>1240.9336265625002</v>
      </c>
    </row>
    <row r="25" spans="2:11" x14ac:dyDescent="0.25">
      <c r="B25" s="14"/>
      <c r="C25" s="27">
        <v>30</v>
      </c>
      <c r="D25" s="283" t="s">
        <v>62</v>
      </c>
      <c r="E25" s="283"/>
      <c r="F25" s="283"/>
      <c r="G25" s="283"/>
      <c r="H25" s="283"/>
      <c r="I25" s="283"/>
      <c r="J25" s="283"/>
      <c r="K25" s="28">
        <f>0.01*'Capital Fijo'!F31</f>
        <v>827.28908437500013</v>
      </c>
    </row>
    <row r="26" spans="2:11" ht="15.75" thickBot="1" x14ac:dyDescent="0.3">
      <c r="B26" s="19"/>
      <c r="C26" s="20">
        <v>31</v>
      </c>
      <c r="D26" s="290" t="s">
        <v>63</v>
      </c>
      <c r="E26" s="290"/>
      <c r="F26" s="290"/>
      <c r="G26" s="290"/>
      <c r="H26" s="290"/>
      <c r="I26" s="290"/>
      <c r="J26" s="290"/>
      <c r="K26" s="29">
        <f>'PLANILLA DE PERSONAL'!C29</f>
        <v>3133.35</v>
      </c>
    </row>
    <row r="27" spans="2:11" s="225" customFormat="1" ht="15.75" thickBot="1" x14ac:dyDescent="0.3">
      <c r="B27" s="291"/>
      <c r="C27" s="291"/>
      <c r="D27" s="291"/>
      <c r="E27" s="291"/>
      <c r="F27" s="291"/>
      <c r="G27" s="291"/>
      <c r="H27" s="291"/>
      <c r="I27" s="291"/>
      <c r="J27" s="291"/>
      <c r="K27" s="291"/>
    </row>
    <row r="28" spans="2:11" ht="15.75" thickBot="1" x14ac:dyDescent="0.3">
      <c r="B28" s="142">
        <v>32</v>
      </c>
      <c r="C28" s="143"/>
      <c r="D28" s="292" t="s">
        <v>64</v>
      </c>
      <c r="E28" s="293"/>
      <c r="F28" s="293"/>
      <c r="G28" s="293"/>
      <c r="H28" s="293"/>
      <c r="I28" s="293"/>
      <c r="J28" s="294"/>
      <c r="K28" s="144">
        <f>SUM(K22:K26)</f>
        <v>12574.463554687502</v>
      </c>
    </row>
    <row r="29" spans="2:11" s="225" customFormat="1" ht="15.75" thickBot="1" x14ac:dyDescent="0.3">
      <c r="B29" s="279"/>
      <c r="C29" s="279"/>
      <c r="D29" s="279"/>
      <c r="E29" s="279"/>
      <c r="F29" s="279"/>
      <c r="G29" s="279"/>
      <c r="H29" s="279"/>
      <c r="I29" s="279"/>
      <c r="J29" s="279"/>
      <c r="K29" s="279"/>
    </row>
    <row r="30" spans="2:11" ht="15.75" thickBot="1" x14ac:dyDescent="0.3">
      <c r="B30" s="136">
        <v>33</v>
      </c>
      <c r="C30" s="137"/>
      <c r="D30" s="295" t="s">
        <v>65</v>
      </c>
      <c r="E30" s="296"/>
      <c r="F30" s="296"/>
      <c r="G30" s="296"/>
      <c r="H30" s="296"/>
      <c r="I30" s="296"/>
      <c r="J30" s="297"/>
      <c r="K30" s="138">
        <f>K19+K28</f>
        <v>23294.159242187503</v>
      </c>
    </row>
    <row r="31" spans="2:11" s="225" customFormat="1" x14ac:dyDescent="0.25">
      <c r="B31" s="226"/>
      <c r="C31" s="226"/>
      <c r="D31" s="227"/>
      <c r="E31" s="227"/>
      <c r="F31" s="227"/>
      <c r="G31" s="227"/>
      <c r="H31" s="227"/>
      <c r="I31" s="227"/>
      <c r="J31" s="227"/>
      <c r="K31" s="227"/>
    </row>
  </sheetData>
  <mergeCells count="31">
    <mergeCell ref="D26:J26"/>
    <mergeCell ref="B27:K27"/>
    <mergeCell ref="D28:J28"/>
    <mergeCell ref="B29:K29"/>
    <mergeCell ref="D30:J30"/>
    <mergeCell ref="D25:J25"/>
    <mergeCell ref="D14:J14"/>
    <mergeCell ref="D15:J15"/>
    <mergeCell ref="D16:J16"/>
    <mergeCell ref="D17:J17"/>
    <mergeCell ref="B18:K18"/>
    <mergeCell ref="D19:J19"/>
    <mergeCell ref="B20:K20"/>
    <mergeCell ref="D21:K21"/>
    <mergeCell ref="D22:J22"/>
    <mergeCell ref="D23:J23"/>
    <mergeCell ref="D24:J24"/>
    <mergeCell ref="L8:W8"/>
    <mergeCell ref="L9:W9"/>
    <mergeCell ref="B13:K13"/>
    <mergeCell ref="B2:K2"/>
    <mergeCell ref="B3:C4"/>
    <mergeCell ref="D3:D4"/>
    <mergeCell ref="E3:F3"/>
    <mergeCell ref="G3:H3"/>
    <mergeCell ref="I3:J3"/>
    <mergeCell ref="B5:K5"/>
    <mergeCell ref="D6:K6"/>
    <mergeCell ref="D7:K7"/>
    <mergeCell ref="B11:K11"/>
    <mergeCell ref="D12:J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7"/>
  <sheetViews>
    <sheetView workbookViewId="0">
      <selection activeCell="J25" sqref="J25"/>
    </sheetView>
  </sheetViews>
  <sheetFormatPr baseColWidth="10" defaultRowHeight="15" x14ac:dyDescent="0.25"/>
  <cols>
    <col min="1" max="1" width="2" customWidth="1"/>
    <col min="2" max="2" width="4.140625" customWidth="1"/>
    <col min="3" max="3" width="4.42578125" customWidth="1"/>
    <col min="4" max="4" width="30.5703125" bestFit="1" customWidth="1"/>
    <col min="5" max="5" width="15.42578125" customWidth="1"/>
  </cols>
  <sheetData>
    <row r="1" spans="2:5" ht="6.75" customHeight="1" thickBot="1" x14ac:dyDescent="0.3"/>
    <row r="2" spans="2:5" ht="16.5" thickTop="1" thickBot="1" x14ac:dyDescent="0.3">
      <c r="B2" s="298" t="s">
        <v>92</v>
      </c>
      <c r="C2" s="299"/>
      <c r="D2" s="299"/>
      <c r="E2" s="300"/>
    </row>
    <row r="3" spans="2:5" ht="32.25" thickBot="1" x14ac:dyDescent="0.3">
      <c r="B3" s="301" t="s">
        <v>93</v>
      </c>
      <c r="C3" s="302"/>
      <c r="D3" s="145" t="s">
        <v>196</v>
      </c>
      <c r="E3" s="146" t="s">
        <v>174</v>
      </c>
    </row>
    <row r="4" spans="2:5" ht="15.75" x14ac:dyDescent="0.25">
      <c r="B4" s="73"/>
      <c r="C4" s="74">
        <v>34</v>
      </c>
      <c r="D4" s="74" t="s">
        <v>96</v>
      </c>
      <c r="E4" s="75">
        <v>0</v>
      </c>
    </row>
    <row r="5" spans="2:5" x14ac:dyDescent="0.25">
      <c r="B5" s="76"/>
      <c r="C5" s="72">
        <v>35</v>
      </c>
      <c r="D5" s="72" t="s">
        <v>97</v>
      </c>
      <c r="E5" s="77">
        <v>0</v>
      </c>
    </row>
    <row r="6" spans="2:5" x14ac:dyDescent="0.25">
      <c r="B6" s="76"/>
      <c r="C6" s="72">
        <v>36</v>
      </c>
      <c r="D6" s="72" t="s">
        <v>98</v>
      </c>
      <c r="E6" s="77">
        <v>0</v>
      </c>
    </row>
    <row r="7" spans="2:5" ht="15.75" thickBot="1" x14ac:dyDescent="0.3">
      <c r="B7" s="147">
        <v>37</v>
      </c>
      <c r="C7" s="148"/>
      <c r="D7" s="149" t="s">
        <v>99</v>
      </c>
      <c r="E7" s="150">
        <f>SUM(E4:E6)</f>
        <v>0</v>
      </c>
    </row>
  </sheetData>
  <mergeCells count="2">
    <mergeCell ref="B2:E2"/>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
  <sheetViews>
    <sheetView workbookViewId="0">
      <selection sqref="A1:F10"/>
    </sheetView>
  </sheetViews>
  <sheetFormatPr baseColWidth="10" defaultRowHeight="15" x14ac:dyDescent="0.25"/>
  <cols>
    <col min="1" max="1" width="1.85546875" style="225" customWidth="1"/>
    <col min="2" max="2" width="4" customWidth="1"/>
    <col min="3" max="3" width="4.140625" customWidth="1"/>
    <col min="4" max="4" width="33.5703125" bestFit="1" customWidth="1"/>
    <col min="5" max="5" width="16.28515625" customWidth="1"/>
    <col min="6" max="6" width="5.5703125" style="225" customWidth="1"/>
  </cols>
  <sheetData>
    <row r="1" spans="2:9" s="225" customFormat="1" ht="15.75" thickBot="1" x14ac:dyDescent="0.3"/>
    <row r="2" spans="2:9" ht="15.75" thickBot="1" x14ac:dyDescent="0.3">
      <c r="B2" s="303" t="s">
        <v>100</v>
      </c>
      <c r="C2" s="304"/>
      <c r="D2" s="304"/>
      <c r="E2" s="305"/>
    </row>
    <row r="3" spans="2:9" ht="30.75" thickBot="1" x14ac:dyDescent="0.3">
      <c r="B3" s="301" t="s">
        <v>93</v>
      </c>
      <c r="C3" s="306"/>
      <c r="D3" s="154" t="s">
        <v>94</v>
      </c>
      <c r="E3" s="155" t="s">
        <v>95</v>
      </c>
    </row>
    <row r="4" spans="2:9" x14ac:dyDescent="0.25">
      <c r="B4" s="73"/>
      <c r="C4" s="74">
        <v>38</v>
      </c>
      <c r="D4" s="74" t="s">
        <v>101</v>
      </c>
      <c r="E4" s="210">
        <f>(13000*1.5*12)/1000</f>
        <v>234</v>
      </c>
    </row>
    <row r="5" spans="2:9" x14ac:dyDescent="0.25">
      <c r="B5" s="76"/>
      <c r="C5" s="72">
        <v>39</v>
      </c>
      <c r="D5" s="78" t="s">
        <v>102</v>
      </c>
      <c r="E5" s="211">
        <v>360</v>
      </c>
      <c r="G5" s="69"/>
      <c r="H5" s="69"/>
      <c r="I5" s="69"/>
    </row>
    <row r="6" spans="2:9" x14ac:dyDescent="0.25">
      <c r="B6" s="76"/>
      <c r="C6" s="72">
        <v>40</v>
      </c>
      <c r="D6" s="78" t="s">
        <v>103</v>
      </c>
      <c r="E6" s="211">
        <f>0.07*'COSTO DE FABRICACIÓN Y VENTAS'!E6</f>
        <v>10921.008786819995</v>
      </c>
      <c r="G6" s="69"/>
      <c r="H6" s="69"/>
      <c r="I6" s="69"/>
    </row>
    <row r="7" spans="2:9" x14ac:dyDescent="0.25">
      <c r="B7" s="76"/>
      <c r="C7" s="72">
        <v>41</v>
      </c>
      <c r="D7" s="72" t="s">
        <v>104</v>
      </c>
      <c r="E7" s="213">
        <f>0.03*'COSTO DE FABRICACIÓN Y VENTAS'!E6</f>
        <v>4680.4323372085692</v>
      </c>
    </row>
    <row r="8" spans="2:9" ht="15.75" thickBot="1" x14ac:dyDescent="0.3">
      <c r="B8" s="79"/>
      <c r="C8" s="80">
        <v>42</v>
      </c>
      <c r="D8" s="80" t="s">
        <v>105</v>
      </c>
      <c r="E8" s="214">
        <v>0</v>
      </c>
    </row>
    <row r="9" spans="2:9" ht="15.75" thickBot="1" x14ac:dyDescent="0.3">
      <c r="B9" s="151">
        <v>43</v>
      </c>
      <c r="C9" s="152"/>
      <c r="D9" s="153" t="s">
        <v>106</v>
      </c>
      <c r="E9" s="212">
        <f>SUM(E4:E8)</f>
        <v>16195.441124028564</v>
      </c>
    </row>
    <row r="10" spans="2:9" s="225" customFormat="1" x14ac:dyDescent="0.25"/>
  </sheetData>
  <mergeCells count="2">
    <mergeCell ref="B2:E2"/>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
  <sheetViews>
    <sheetView workbookViewId="0">
      <selection activeCell="B12" sqref="B12:F16"/>
    </sheetView>
  </sheetViews>
  <sheetFormatPr baseColWidth="10" defaultRowHeight="15" x14ac:dyDescent="0.25"/>
  <cols>
    <col min="1" max="1" width="3.7109375" style="225" customWidth="1"/>
    <col min="2" max="2" width="3.85546875" customWidth="1"/>
    <col min="3" max="3" width="4.5703125" customWidth="1"/>
    <col min="4" max="4" width="47.42578125" bestFit="1" customWidth="1"/>
    <col min="5" max="5" width="14.85546875" customWidth="1"/>
  </cols>
  <sheetData>
    <row r="1" spans="2:6" s="225" customFormat="1" ht="15.75" thickBot="1" x14ac:dyDescent="0.3"/>
    <row r="2" spans="2:6" ht="16.5" thickTop="1" thickBot="1" x14ac:dyDescent="0.3">
      <c r="B2" s="298" t="s">
        <v>173</v>
      </c>
      <c r="C2" s="299"/>
      <c r="D2" s="299"/>
      <c r="E2" s="300"/>
      <c r="F2" s="81"/>
    </row>
    <row r="3" spans="2:6" ht="30.75" thickBot="1" x14ac:dyDescent="0.3">
      <c r="B3" s="301" t="s">
        <v>1</v>
      </c>
      <c r="C3" s="302"/>
      <c r="D3" s="145" t="s">
        <v>2</v>
      </c>
      <c r="E3" s="155" t="s">
        <v>174</v>
      </c>
      <c r="F3" s="81"/>
    </row>
    <row r="4" spans="2:6" x14ac:dyDescent="0.25">
      <c r="B4" s="89"/>
      <c r="C4" s="90">
        <v>44</v>
      </c>
      <c r="D4" s="91" t="s">
        <v>175</v>
      </c>
      <c r="E4" s="92">
        <f>'costo de mp y montos de venta'!G15</f>
        <v>132720.25199809813</v>
      </c>
      <c r="F4" s="82"/>
    </row>
    <row r="5" spans="2:6" x14ac:dyDescent="0.25">
      <c r="B5" s="85"/>
      <c r="C5" s="83">
        <v>45</v>
      </c>
      <c r="D5" s="84" t="s">
        <v>176</v>
      </c>
      <c r="E5" s="86">
        <f>'costos de conversión'!K30</f>
        <v>23294.159242187503</v>
      </c>
      <c r="F5" s="82"/>
    </row>
    <row r="6" spans="2:6" x14ac:dyDescent="0.25">
      <c r="B6" s="85">
        <v>46</v>
      </c>
      <c r="C6" s="83"/>
      <c r="D6" s="156" t="s">
        <v>177</v>
      </c>
      <c r="E6" s="157">
        <f>E4+E5</f>
        <v>156014.41124028564</v>
      </c>
      <c r="F6" s="82"/>
    </row>
    <row r="7" spans="2:6" x14ac:dyDescent="0.25">
      <c r="B7" s="85"/>
      <c r="C7" s="83">
        <v>47</v>
      </c>
      <c r="D7" s="84" t="s">
        <v>99</v>
      </c>
      <c r="E7" s="86">
        <v>0</v>
      </c>
      <c r="F7" s="82"/>
    </row>
    <row r="8" spans="2:6" x14ac:dyDescent="0.25">
      <c r="B8" s="85">
        <v>48</v>
      </c>
      <c r="C8" s="83"/>
      <c r="D8" s="156" t="s">
        <v>178</v>
      </c>
      <c r="E8" s="157">
        <f>E7+E6</f>
        <v>156014.41124028564</v>
      </c>
      <c r="F8" s="82"/>
    </row>
    <row r="9" spans="2:6" x14ac:dyDescent="0.25">
      <c r="B9" s="85"/>
      <c r="C9" s="83">
        <v>49</v>
      </c>
      <c r="D9" s="84" t="s">
        <v>179</v>
      </c>
      <c r="E9" s="86">
        <f>'Gasto de ventas'!E9</f>
        <v>16195.441124028564</v>
      </c>
      <c r="F9" s="82"/>
    </row>
    <row r="10" spans="2:6" ht="15.75" thickBot="1" x14ac:dyDescent="0.3">
      <c r="B10" s="87">
        <v>50</v>
      </c>
      <c r="C10" s="88"/>
      <c r="D10" s="158" t="s">
        <v>180</v>
      </c>
      <c r="E10" s="159">
        <f>E8+E9</f>
        <v>172209.8523643142</v>
      </c>
      <c r="F10" s="82"/>
    </row>
    <row r="11" spans="2:6" s="225" customFormat="1" ht="15.75" thickBot="1" x14ac:dyDescent="0.3">
      <c r="B11" s="228"/>
      <c r="C11" s="228"/>
      <c r="D11" s="228"/>
      <c r="E11" s="228"/>
      <c r="F11" s="228"/>
    </row>
    <row r="12" spans="2:6" ht="15.75" thickBot="1" x14ac:dyDescent="0.3">
      <c r="B12" s="307" t="s">
        <v>181</v>
      </c>
      <c r="C12" s="308"/>
      <c r="D12" s="308"/>
      <c r="E12" s="308"/>
      <c r="F12" s="309"/>
    </row>
    <row r="13" spans="2:6" ht="15.75" thickBot="1" x14ac:dyDescent="0.3">
      <c r="B13" s="310" t="s">
        <v>1</v>
      </c>
      <c r="C13" s="311"/>
      <c r="D13" s="160" t="s">
        <v>2</v>
      </c>
      <c r="E13" s="160" t="s">
        <v>67</v>
      </c>
      <c r="F13" s="161" t="s">
        <v>182</v>
      </c>
    </row>
    <row r="14" spans="2:6" x14ac:dyDescent="0.25">
      <c r="B14" s="93"/>
      <c r="C14" s="94">
        <v>51</v>
      </c>
      <c r="D14" s="95" t="s">
        <v>184</v>
      </c>
      <c r="E14" s="96">
        <v>35000</v>
      </c>
      <c r="F14" s="97" t="s">
        <v>20</v>
      </c>
    </row>
    <row r="15" spans="2:6" x14ac:dyDescent="0.25">
      <c r="B15" s="165"/>
      <c r="C15" s="166">
        <v>52</v>
      </c>
      <c r="D15" s="167" t="s">
        <v>185</v>
      </c>
      <c r="E15" s="168">
        <f>'costo de mp y montos de venta'!D19</f>
        <v>11</v>
      </c>
      <c r="F15" s="169" t="s">
        <v>183</v>
      </c>
    </row>
    <row r="16" spans="2:6" ht="30.75" thickBot="1" x14ac:dyDescent="0.3">
      <c r="B16" s="87">
        <v>53</v>
      </c>
      <c r="C16" s="88"/>
      <c r="D16" s="162" t="s">
        <v>197</v>
      </c>
      <c r="E16" s="163">
        <f>E14*E15</f>
        <v>385000</v>
      </c>
      <c r="F16" s="164" t="s">
        <v>30</v>
      </c>
    </row>
  </sheetData>
  <mergeCells count="4">
    <mergeCell ref="B2:E2"/>
    <mergeCell ref="B3:C3"/>
    <mergeCell ref="B12:F12"/>
    <mergeCell ref="B13:C13"/>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1"/>
  <sheetViews>
    <sheetView topLeftCell="A10" workbookViewId="0">
      <selection activeCell="F31" sqref="F31"/>
    </sheetView>
  </sheetViews>
  <sheetFormatPr baseColWidth="10" defaultRowHeight="15" x14ac:dyDescent="0.25"/>
  <cols>
    <col min="3" max="3" width="39.85546875" bestFit="1" customWidth="1"/>
    <col min="5" max="5" width="13.42578125" customWidth="1"/>
    <col min="6" max="6" width="13" bestFit="1" customWidth="1"/>
    <col min="9" max="9" width="17.28515625" bestFit="1" customWidth="1"/>
  </cols>
  <sheetData>
    <row r="1" spans="1:9" ht="15.75" thickBot="1" x14ac:dyDescent="0.3">
      <c r="A1" s="261" t="s">
        <v>107</v>
      </c>
      <c r="B1" s="262"/>
      <c r="C1" s="262"/>
      <c r="D1" s="262"/>
      <c r="E1" s="262"/>
      <c r="F1" s="263"/>
      <c r="I1" s="98"/>
    </row>
    <row r="2" spans="1:9" x14ac:dyDescent="0.25">
      <c r="A2" s="322" t="s">
        <v>33</v>
      </c>
      <c r="B2" s="323"/>
      <c r="C2" s="268" t="s">
        <v>34</v>
      </c>
      <c r="D2" s="268" t="s">
        <v>108</v>
      </c>
      <c r="E2" s="405" t="s">
        <v>37</v>
      </c>
      <c r="F2" s="130" t="s">
        <v>109</v>
      </c>
    </row>
    <row r="3" spans="1:9" ht="15.75" thickBot="1" x14ac:dyDescent="0.3">
      <c r="A3" s="324"/>
      <c r="B3" s="325"/>
      <c r="C3" s="269"/>
      <c r="D3" s="269"/>
      <c r="E3" s="406" t="s">
        <v>110</v>
      </c>
      <c r="F3" s="132" t="s">
        <v>111</v>
      </c>
    </row>
    <row r="4" spans="1:9" ht="15.75" thickBot="1" x14ac:dyDescent="0.3">
      <c r="A4" s="32"/>
      <c r="B4" s="260"/>
      <c r="C4" s="260"/>
      <c r="D4" s="260"/>
      <c r="E4" s="260"/>
      <c r="F4" s="260"/>
    </row>
    <row r="5" spans="1:9" ht="15.75" thickBot="1" x14ac:dyDescent="0.3">
      <c r="A5" s="170">
        <v>54</v>
      </c>
      <c r="B5" s="171"/>
      <c r="C5" s="172" t="s">
        <v>112</v>
      </c>
      <c r="D5" s="173"/>
      <c r="E5" s="172"/>
      <c r="F5" s="174"/>
    </row>
    <row r="6" spans="1:9" x14ac:dyDescent="0.25">
      <c r="A6" s="30"/>
      <c r="B6" s="13">
        <f>A5+1</f>
        <v>55</v>
      </c>
      <c r="C6" s="378" t="s">
        <v>133</v>
      </c>
      <c r="D6" s="60">
        <v>1</v>
      </c>
      <c r="E6" s="384">
        <v>25000</v>
      </c>
      <c r="F6" s="385">
        <f>(E6*15)/1000</f>
        <v>375</v>
      </c>
    </row>
    <row r="7" spans="1:9" x14ac:dyDescent="0.25">
      <c r="A7" s="14"/>
      <c r="B7" s="27">
        <f>B6+1</f>
        <v>56</v>
      </c>
      <c r="C7" s="379" t="s">
        <v>134</v>
      </c>
      <c r="D7" s="61">
        <v>8</v>
      </c>
      <c r="E7" s="386">
        <v>5400</v>
      </c>
      <c r="F7" s="385">
        <f>(D7*E7)*15/1000</f>
        <v>648</v>
      </c>
    </row>
    <row r="8" spans="1:9" x14ac:dyDescent="0.25">
      <c r="A8" s="14"/>
      <c r="B8" s="27">
        <f t="shared" ref="B8:B11" si="0">B7+1</f>
        <v>57</v>
      </c>
      <c r="C8" s="380" t="s">
        <v>135</v>
      </c>
      <c r="D8" s="61">
        <v>1</v>
      </c>
      <c r="E8" s="387">
        <v>7800</v>
      </c>
      <c r="F8" s="385">
        <f t="shared" ref="F8:F14" si="1">(D8*E8*15)/1000</f>
        <v>117</v>
      </c>
    </row>
    <row r="9" spans="1:9" x14ac:dyDescent="0.25">
      <c r="A9" s="14"/>
      <c r="B9" s="27">
        <f t="shared" si="0"/>
        <v>58</v>
      </c>
      <c r="C9" s="379" t="s">
        <v>136</v>
      </c>
      <c r="D9" s="62">
        <v>1</v>
      </c>
      <c r="E9" s="387">
        <v>18800</v>
      </c>
      <c r="F9" s="385">
        <f t="shared" si="1"/>
        <v>282</v>
      </c>
    </row>
    <row r="10" spans="1:9" x14ac:dyDescent="0.25">
      <c r="A10" s="14"/>
      <c r="B10" s="27">
        <f t="shared" si="0"/>
        <v>59</v>
      </c>
      <c r="C10" s="379" t="s">
        <v>137</v>
      </c>
      <c r="D10" s="61">
        <v>1</v>
      </c>
      <c r="E10" s="387">
        <v>13200</v>
      </c>
      <c r="F10" s="385">
        <f t="shared" si="1"/>
        <v>198</v>
      </c>
    </row>
    <row r="11" spans="1:9" x14ac:dyDescent="0.25">
      <c r="A11" s="14"/>
      <c r="B11" s="27">
        <f t="shared" si="0"/>
        <v>60</v>
      </c>
      <c r="C11" s="379" t="s">
        <v>138</v>
      </c>
      <c r="D11" s="62">
        <v>4</v>
      </c>
      <c r="E11" s="387">
        <v>21800</v>
      </c>
      <c r="F11" s="388">
        <f t="shared" si="1"/>
        <v>1308</v>
      </c>
    </row>
    <row r="12" spans="1:9" x14ac:dyDescent="0.25">
      <c r="A12" s="14"/>
      <c r="B12" s="27">
        <v>61</v>
      </c>
      <c r="C12" s="380" t="s">
        <v>139</v>
      </c>
      <c r="D12" s="62">
        <v>1</v>
      </c>
      <c r="E12" s="386">
        <v>112600</v>
      </c>
      <c r="F12" s="389">
        <f t="shared" si="1"/>
        <v>1689</v>
      </c>
    </row>
    <row r="13" spans="1:9" x14ac:dyDescent="0.25">
      <c r="A13" s="14"/>
      <c r="B13" s="27">
        <v>62</v>
      </c>
      <c r="C13" s="379" t="s">
        <v>140</v>
      </c>
      <c r="D13" s="62">
        <v>4</v>
      </c>
      <c r="E13" s="387">
        <v>33200</v>
      </c>
      <c r="F13" s="385">
        <f t="shared" si="1"/>
        <v>1992</v>
      </c>
    </row>
    <row r="14" spans="1:9" x14ac:dyDescent="0.25">
      <c r="A14" s="14"/>
      <c r="B14" s="27">
        <v>63</v>
      </c>
      <c r="C14" s="379" t="s">
        <v>141</v>
      </c>
      <c r="D14" s="62">
        <v>1</v>
      </c>
      <c r="E14" s="387">
        <v>45700</v>
      </c>
      <c r="F14" s="385">
        <f t="shared" si="1"/>
        <v>685.5</v>
      </c>
    </row>
    <row r="15" spans="1:9" x14ac:dyDescent="0.25">
      <c r="A15" s="14"/>
      <c r="B15" s="27">
        <v>64</v>
      </c>
      <c r="C15" s="379" t="s">
        <v>142</v>
      </c>
      <c r="D15" s="62">
        <v>1</v>
      </c>
      <c r="E15" s="387">
        <v>178800</v>
      </c>
      <c r="F15" s="385">
        <f>(E15*15)/1000</f>
        <v>2682</v>
      </c>
    </row>
    <row r="16" spans="1:9" x14ac:dyDescent="0.25">
      <c r="A16" s="14"/>
      <c r="B16" s="63">
        <v>65</v>
      </c>
      <c r="C16" s="379" t="s">
        <v>143</v>
      </c>
      <c r="D16" s="62">
        <v>1</v>
      </c>
      <c r="E16" s="387">
        <v>21600</v>
      </c>
      <c r="F16" s="385">
        <f>(15*E16)/1000</f>
        <v>324</v>
      </c>
    </row>
    <row r="17" spans="1:6" ht="15.75" thickBot="1" x14ac:dyDescent="0.3">
      <c r="A17" s="175">
        <v>66</v>
      </c>
      <c r="B17" s="176"/>
      <c r="C17" s="316" t="s">
        <v>123</v>
      </c>
      <c r="D17" s="316"/>
      <c r="E17" s="317"/>
      <c r="F17" s="177">
        <f>SUM(F6:F16)</f>
        <v>10300.5</v>
      </c>
    </row>
    <row r="18" spans="1:6" ht="15.75" thickBot="1" x14ac:dyDescent="0.3">
      <c r="A18" s="178">
        <v>67</v>
      </c>
      <c r="B18" s="178"/>
      <c r="C18" s="318" t="s">
        <v>124</v>
      </c>
      <c r="D18" s="318"/>
      <c r="E18" s="318"/>
      <c r="F18" s="178">
        <f>1.42*F17</f>
        <v>14626.71</v>
      </c>
    </row>
    <row r="19" spans="1:6" x14ac:dyDescent="0.25">
      <c r="A19" s="312"/>
      <c r="B19" s="312"/>
      <c r="C19" s="312"/>
      <c r="D19" s="312"/>
      <c r="E19" s="312"/>
      <c r="F19" s="312"/>
    </row>
    <row r="20" spans="1:6" x14ac:dyDescent="0.25">
      <c r="A20" s="14"/>
      <c r="B20" s="27">
        <v>68</v>
      </c>
      <c r="C20" s="379" t="s">
        <v>113</v>
      </c>
      <c r="D20" s="65"/>
      <c r="E20" s="65"/>
      <c r="F20" s="390">
        <f>0.45*F18</f>
        <v>6582.0194999999994</v>
      </c>
    </row>
    <row r="21" spans="1:6" x14ac:dyDescent="0.25">
      <c r="A21" s="14"/>
      <c r="B21" s="27">
        <f>B20+1</f>
        <v>69</v>
      </c>
      <c r="C21" s="379" t="s">
        <v>114</v>
      </c>
      <c r="D21" s="65"/>
      <c r="E21" s="65"/>
      <c r="F21" s="390">
        <f>0.15*F18</f>
        <v>2194.0065</v>
      </c>
    </row>
    <row r="22" spans="1:6" x14ac:dyDescent="0.25">
      <c r="A22" s="14"/>
      <c r="B22" s="27">
        <f t="shared" ref="B22:B24" si="2">B21+1</f>
        <v>70</v>
      </c>
      <c r="C22" s="379" t="s">
        <v>115</v>
      </c>
      <c r="D22" s="65"/>
      <c r="E22" s="65"/>
      <c r="F22" s="390">
        <v>18000</v>
      </c>
    </row>
    <row r="23" spans="1:6" x14ac:dyDescent="0.25">
      <c r="A23" s="14"/>
      <c r="B23" s="27">
        <f t="shared" si="2"/>
        <v>71</v>
      </c>
      <c r="C23" s="379" t="s">
        <v>116</v>
      </c>
      <c r="D23" s="65"/>
      <c r="E23" s="65"/>
      <c r="F23" s="390">
        <f>0.5*F18</f>
        <v>7313.3549999999996</v>
      </c>
    </row>
    <row r="24" spans="1:6" ht="15.75" thickBot="1" x14ac:dyDescent="0.3">
      <c r="A24" s="19"/>
      <c r="B24" s="27">
        <f t="shared" si="2"/>
        <v>72</v>
      </c>
      <c r="C24" s="381" t="s">
        <v>117</v>
      </c>
      <c r="D24" s="66"/>
      <c r="E24" s="66"/>
      <c r="F24" s="391">
        <f>0.15*F18</f>
        <v>2194.0065</v>
      </c>
    </row>
    <row r="25" spans="1:6" ht="15.75" thickBot="1" x14ac:dyDescent="0.3">
      <c r="A25" s="179">
        <v>73</v>
      </c>
      <c r="B25" s="180"/>
      <c r="C25" s="319" t="s">
        <v>118</v>
      </c>
      <c r="D25" s="320"/>
      <c r="E25" s="321"/>
      <c r="F25" s="392">
        <f>SUM(F18:F24)</f>
        <v>50910.097500000003</v>
      </c>
    </row>
    <row r="26" spans="1:6" ht="15.75" thickBot="1" x14ac:dyDescent="0.3">
      <c r="A26" s="312"/>
      <c r="B26" s="312"/>
      <c r="C26" s="312"/>
      <c r="D26" s="312"/>
      <c r="E26" s="312"/>
      <c r="F26" s="312"/>
    </row>
    <row r="27" spans="1:6" x14ac:dyDescent="0.25">
      <c r="A27" s="25"/>
      <c r="B27" s="26">
        <v>74</v>
      </c>
      <c r="C27" s="412" t="s">
        <v>119</v>
      </c>
      <c r="D27" s="64"/>
      <c r="E27" s="64"/>
      <c r="F27" s="393">
        <f>0.45*F25</f>
        <v>22909.543875000003</v>
      </c>
    </row>
    <row r="28" spans="1:6" x14ac:dyDescent="0.25">
      <c r="A28" s="14"/>
      <c r="B28" s="27">
        <v>75</v>
      </c>
      <c r="C28" s="379" t="s">
        <v>120</v>
      </c>
      <c r="D28" s="65"/>
      <c r="E28" s="65"/>
      <c r="F28" s="390">
        <f>0.15*F25</f>
        <v>7636.5146249999998</v>
      </c>
    </row>
    <row r="29" spans="1:6" ht="15.75" thickBot="1" x14ac:dyDescent="0.3">
      <c r="A29" s="19"/>
      <c r="B29" s="20">
        <v>76</v>
      </c>
      <c r="C29" s="381" t="s">
        <v>121</v>
      </c>
      <c r="D29" s="66"/>
      <c r="E29" s="66"/>
      <c r="F29" s="394">
        <f>0.025*F25</f>
        <v>1272.7524375000003</v>
      </c>
    </row>
    <row r="30" spans="1:6" ht="15.75" thickBot="1" x14ac:dyDescent="0.3">
      <c r="A30" s="312"/>
      <c r="B30" s="312"/>
      <c r="C30" s="312"/>
      <c r="D30" s="312"/>
      <c r="E30" s="312"/>
      <c r="F30" s="312"/>
    </row>
    <row r="31" spans="1:6" ht="15.75" thickBot="1" x14ac:dyDescent="0.3">
      <c r="A31" s="181">
        <v>77</v>
      </c>
      <c r="B31" s="182"/>
      <c r="C31" s="313" t="s">
        <v>122</v>
      </c>
      <c r="D31" s="314"/>
      <c r="E31" s="315"/>
      <c r="F31" s="395">
        <f>F25+F27+F28+F29</f>
        <v>82728.908437500009</v>
      </c>
    </row>
  </sheetData>
  <mergeCells count="12">
    <mergeCell ref="A1:F1"/>
    <mergeCell ref="A2:B3"/>
    <mergeCell ref="C2:C3"/>
    <mergeCell ref="D2:D3"/>
    <mergeCell ref="B4:F4"/>
    <mergeCell ref="A30:F30"/>
    <mergeCell ref="C31:E31"/>
    <mergeCell ref="C17:E17"/>
    <mergeCell ref="C18:E18"/>
    <mergeCell ref="A19:F19"/>
    <mergeCell ref="C25:E25"/>
    <mergeCell ref="A26:F26"/>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6576B-F4B3-4AB1-B76F-B7880D3848A2}">
  <dimension ref="A1:F14"/>
  <sheetViews>
    <sheetView workbookViewId="0">
      <selection activeCell="E13" sqref="E13"/>
    </sheetView>
  </sheetViews>
  <sheetFormatPr baseColWidth="10" defaultRowHeight="15" x14ac:dyDescent="0.25"/>
  <cols>
    <col min="1" max="3" width="11.42578125" style="98"/>
    <col min="4" max="4" width="34.7109375" style="98" customWidth="1"/>
    <col min="5" max="5" width="15" style="98" bestFit="1" customWidth="1"/>
    <col min="6" max="16384" width="11.42578125" style="98"/>
  </cols>
  <sheetData>
    <row r="1" spans="1:6" ht="15.75" thickBot="1" x14ac:dyDescent="0.3">
      <c r="A1" s="33"/>
      <c r="B1" s="32"/>
      <c r="C1" s="32"/>
      <c r="D1" s="33"/>
      <c r="E1" s="33"/>
      <c r="F1" s="33"/>
    </row>
    <row r="2" spans="1:6" ht="15.75" thickBot="1" x14ac:dyDescent="0.3">
      <c r="A2" s="184"/>
      <c r="B2" s="261" t="s">
        <v>252</v>
      </c>
      <c r="C2" s="262"/>
      <c r="D2" s="262"/>
      <c r="E2" s="263"/>
      <c r="F2" s="184"/>
    </row>
    <row r="3" spans="1:6" x14ac:dyDescent="0.25">
      <c r="A3" s="184"/>
      <c r="B3" s="264" t="s">
        <v>33</v>
      </c>
      <c r="C3" s="265"/>
      <c r="D3" s="268" t="s">
        <v>34</v>
      </c>
      <c r="E3" s="130" t="s">
        <v>38</v>
      </c>
      <c r="F3" s="184"/>
    </row>
    <row r="4" spans="1:6" ht="15.75" thickBot="1" x14ac:dyDescent="0.3">
      <c r="A4" s="184"/>
      <c r="B4" s="266"/>
      <c r="C4" s="267"/>
      <c r="D4" s="269"/>
      <c r="E4" s="132" t="s">
        <v>145</v>
      </c>
      <c r="F4" s="184"/>
    </row>
    <row r="5" spans="1:6" ht="15.75" thickBot="1" x14ac:dyDescent="0.3">
      <c r="A5" s="184"/>
      <c r="B5" s="331"/>
      <c r="C5" s="331"/>
      <c r="D5" s="331"/>
      <c r="E5" s="331"/>
      <c r="F5" s="184"/>
    </row>
    <row r="6" spans="1:6" ht="15.75" thickBot="1" x14ac:dyDescent="0.3">
      <c r="A6" s="184"/>
      <c r="B6" s="170">
        <v>78</v>
      </c>
      <c r="C6" s="171"/>
      <c r="D6" s="329" t="s">
        <v>267</v>
      </c>
      <c r="E6" s="330"/>
      <c r="F6" s="184"/>
    </row>
    <row r="7" spans="1:6" x14ac:dyDescent="0.25">
      <c r="A7" s="184"/>
      <c r="B7" s="185"/>
      <c r="C7" s="60">
        <v>79</v>
      </c>
      <c r="D7" s="382" t="s">
        <v>253</v>
      </c>
      <c r="E7" s="385">
        <v>2300</v>
      </c>
      <c r="F7" s="184"/>
    </row>
    <row r="8" spans="1:6" x14ac:dyDescent="0.25">
      <c r="A8" s="184"/>
      <c r="B8" s="186"/>
      <c r="C8" s="61">
        <v>80</v>
      </c>
      <c r="D8" s="383" t="s">
        <v>254</v>
      </c>
      <c r="E8" s="390">
        <v>658</v>
      </c>
      <c r="F8" s="184"/>
    </row>
    <row r="9" spans="1:6" x14ac:dyDescent="0.25">
      <c r="A9" s="184"/>
      <c r="B9" s="186"/>
      <c r="C9" s="61">
        <f t="shared" ref="C9:C11" si="0">C8+1</f>
        <v>81</v>
      </c>
      <c r="D9" s="383" t="s">
        <v>255</v>
      </c>
      <c r="E9" s="390">
        <v>1285</v>
      </c>
      <c r="F9" s="184"/>
    </row>
    <row r="10" spans="1:6" x14ac:dyDescent="0.25">
      <c r="A10" s="184"/>
      <c r="B10" s="215"/>
      <c r="C10" s="216">
        <f t="shared" si="0"/>
        <v>82</v>
      </c>
      <c r="D10" s="396" t="s">
        <v>256</v>
      </c>
      <c r="E10" s="398">
        <f>('costo de mp y montos de venta'!G15+'costos de conversión'!K14+'costos de conversión'!K12)*2/300</f>
        <v>929.28527565398758</v>
      </c>
      <c r="F10" s="190"/>
    </row>
    <row r="11" spans="1:6" x14ac:dyDescent="0.25">
      <c r="A11" s="184"/>
      <c r="B11" s="215"/>
      <c r="C11" s="216">
        <f t="shared" si="0"/>
        <v>83</v>
      </c>
      <c r="D11" s="396" t="s">
        <v>257</v>
      </c>
      <c r="E11" s="398">
        <v>758</v>
      </c>
      <c r="F11" s="190"/>
    </row>
    <row r="12" spans="1:6" ht="15.75" thickBot="1" x14ac:dyDescent="0.3">
      <c r="A12" s="184"/>
      <c r="B12" s="407"/>
      <c r="C12" s="408">
        <f>+C11+1</f>
        <v>84</v>
      </c>
      <c r="D12" s="409" t="s">
        <v>258</v>
      </c>
      <c r="E12" s="410">
        <f>0.1*F12</f>
        <v>593.0285275653988</v>
      </c>
      <c r="F12" s="190">
        <f>SUM(E7:E11)</f>
        <v>5930.2852756539878</v>
      </c>
    </row>
    <row r="13" spans="1:6" ht="15.75" thickBot="1" x14ac:dyDescent="0.3">
      <c r="A13" s="184"/>
      <c r="B13" s="195">
        <f>1+C12</f>
        <v>85</v>
      </c>
      <c r="C13" s="196"/>
      <c r="D13" s="197" t="s">
        <v>268</v>
      </c>
      <c r="E13" s="411">
        <f>SUM(E7:E12)</f>
        <v>6523.3138032193865</v>
      </c>
      <c r="F13" s="184"/>
    </row>
    <row r="14" spans="1:6" x14ac:dyDescent="0.25">
      <c r="A14" s="193"/>
      <c r="B14" s="193"/>
      <c r="C14" s="193"/>
      <c r="D14" s="193"/>
      <c r="E14" s="193"/>
      <c r="F14" s="193"/>
    </row>
  </sheetData>
  <mergeCells count="5">
    <mergeCell ref="B2:E2"/>
    <mergeCell ref="B3:C4"/>
    <mergeCell ref="D3:D4"/>
    <mergeCell ref="B5:E5"/>
    <mergeCell ref="D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8"/>
  <sheetViews>
    <sheetView tabSelected="1" topLeftCell="A22" workbookViewId="0">
      <selection activeCell="G38" sqref="G38"/>
    </sheetView>
  </sheetViews>
  <sheetFormatPr baseColWidth="10" defaultRowHeight="15" x14ac:dyDescent="0.25"/>
  <cols>
    <col min="4" max="4" width="32.85546875" bestFit="1" customWidth="1"/>
    <col min="5" max="5" width="17.42578125" customWidth="1"/>
  </cols>
  <sheetData>
    <row r="1" spans="1:18" ht="15.75" thickBot="1" x14ac:dyDescent="0.3">
      <c r="A1" s="33"/>
      <c r="B1" s="32"/>
      <c r="C1" s="32"/>
      <c r="D1" s="33"/>
      <c r="E1" s="33"/>
      <c r="F1" s="33"/>
    </row>
    <row r="2" spans="1:18" ht="15.75" thickBot="1" x14ac:dyDescent="0.3">
      <c r="A2" s="184"/>
      <c r="B2" s="261" t="s">
        <v>144</v>
      </c>
      <c r="C2" s="262"/>
      <c r="D2" s="262"/>
      <c r="E2" s="263"/>
      <c r="F2" s="184"/>
    </row>
    <row r="3" spans="1:18" x14ac:dyDescent="0.25">
      <c r="A3" s="184"/>
      <c r="B3" s="264" t="s">
        <v>33</v>
      </c>
      <c r="C3" s="265"/>
      <c r="D3" s="268" t="s">
        <v>34</v>
      </c>
      <c r="E3" s="130" t="s">
        <v>38</v>
      </c>
      <c r="F3" s="184"/>
    </row>
    <row r="4" spans="1:18" ht="15.75" thickBot="1" x14ac:dyDescent="0.3">
      <c r="A4" s="184"/>
      <c r="B4" s="266"/>
      <c r="C4" s="267"/>
      <c r="D4" s="269"/>
      <c r="E4" s="132" t="s">
        <v>145</v>
      </c>
      <c r="F4" s="184"/>
    </row>
    <row r="5" spans="1:18" ht="15.75" thickBot="1" x14ac:dyDescent="0.3">
      <c r="A5" s="184"/>
      <c r="B5" s="331"/>
      <c r="C5" s="331"/>
      <c r="D5" s="331"/>
      <c r="E5" s="331"/>
      <c r="F5" s="184"/>
      <c r="G5" s="199"/>
      <c r="H5" s="199"/>
      <c r="I5" s="199"/>
      <c r="J5" s="199"/>
      <c r="K5" s="199"/>
      <c r="L5" s="199"/>
      <c r="M5" s="199"/>
      <c r="N5" s="199"/>
      <c r="O5" s="199"/>
      <c r="P5" s="199"/>
      <c r="Q5" s="199"/>
      <c r="R5" s="199"/>
    </row>
    <row r="6" spans="1:18" ht="15.75" thickBot="1" x14ac:dyDescent="0.3">
      <c r="A6" s="184"/>
      <c r="B6" s="170">
        <v>86</v>
      </c>
      <c r="C6" s="171"/>
      <c r="D6" s="329" t="s">
        <v>146</v>
      </c>
      <c r="E6" s="330"/>
      <c r="F6" s="184"/>
      <c r="G6" s="199"/>
      <c r="H6" s="199"/>
      <c r="I6" s="199"/>
      <c r="J6" s="199"/>
      <c r="K6" s="199"/>
      <c r="L6" s="199"/>
      <c r="M6" s="199"/>
      <c r="N6" s="199"/>
      <c r="O6" s="199"/>
      <c r="P6" s="199"/>
      <c r="Q6" s="199"/>
      <c r="R6" s="199"/>
    </row>
    <row r="7" spans="1:18" x14ac:dyDescent="0.25">
      <c r="A7" s="184"/>
      <c r="B7" s="185"/>
      <c r="C7" s="60">
        <f>+B6-1</f>
        <v>85</v>
      </c>
      <c r="D7" s="382" t="s">
        <v>147</v>
      </c>
      <c r="E7" s="385">
        <f>('costo de mp y montos de venta'!G8*15)/300</f>
        <v>6636.0125999049069</v>
      </c>
      <c r="F7" s="184"/>
      <c r="G7" s="199"/>
      <c r="H7" s="199"/>
      <c r="I7" s="199"/>
      <c r="J7" s="199"/>
      <c r="K7" s="199"/>
      <c r="L7" s="199"/>
      <c r="M7" s="199"/>
      <c r="N7" s="199"/>
      <c r="O7" s="199"/>
      <c r="P7" s="199"/>
      <c r="Q7" s="199"/>
      <c r="R7" s="199"/>
    </row>
    <row r="8" spans="1:18" x14ac:dyDescent="0.25">
      <c r="A8" s="184"/>
      <c r="B8" s="186"/>
      <c r="C8" s="61">
        <f>+C7+1</f>
        <v>86</v>
      </c>
      <c r="D8" s="383" t="s">
        <v>148</v>
      </c>
      <c r="E8" s="390">
        <f>0.01*'Capital Fijo'!F31</f>
        <v>827.28908437500013</v>
      </c>
      <c r="F8" s="184"/>
      <c r="G8" s="326"/>
      <c r="H8" s="326"/>
      <c r="I8" s="326"/>
      <c r="J8" s="326"/>
      <c r="K8" s="326"/>
      <c r="L8" s="326"/>
      <c r="M8" s="326"/>
      <c r="N8" s="326"/>
      <c r="O8" s="326"/>
      <c r="P8" s="326"/>
      <c r="Q8" s="326"/>
      <c r="R8" s="326"/>
    </row>
    <row r="9" spans="1:18" x14ac:dyDescent="0.25">
      <c r="A9" s="184"/>
      <c r="B9" s="186"/>
      <c r="C9" s="61">
        <f t="shared" ref="C9:C11" si="0">C8+1</f>
        <v>87</v>
      </c>
      <c r="D9" s="383" t="s">
        <v>96</v>
      </c>
      <c r="E9" s="390">
        <v>0</v>
      </c>
      <c r="F9" s="184"/>
      <c r="G9" s="326"/>
      <c r="H9" s="326"/>
      <c r="I9" s="326"/>
      <c r="J9" s="326"/>
      <c r="K9" s="326"/>
      <c r="L9" s="326"/>
      <c r="M9" s="326"/>
      <c r="N9" s="326"/>
      <c r="O9" s="326"/>
      <c r="P9" s="326"/>
      <c r="Q9" s="326"/>
      <c r="R9" s="326"/>
    </row>
    <row r="10" spans="1:18" x14ac:dyDescent="0.25">
      <c r="A10" s="184"/>
      <c r="B10" s="215"/>
      <c r="C10" s="216">
        <f t="shared" si="0"/>
        <v>88</v>
      </c>
      <c r="D10" s="396" t="s">
        <v>259</v>
      </c>
      <c r="E10" s="398">
        <f>('costo de mp y montos de venta'!G15+'costos de conversión'!K14+'costos de conversión'!K12)*2/300</f>
        <v>929.28527565398758</v>
      </c>
      <c r="F10" s="190"/>
      <c r="G10" s="328"/>
      <c r="H10" s="328"/>
      <c r="I10" s="328"/>
      <c r="J10" s="328"/>
      <c r="K10" s="328"/>
      <c r="L10" s="328"/>
      <c r="M10" s="328"/>
      <c r="N10" s="328"/>
      <c r="O10" s="328"/>
      <c r="P10" s="328"/>
      <c r="Q10" s="328"/>
      <c r="R10" s="328"/>
    </row>
    <row r="11" spans="1:18" ht="15.75" thickBot="1" x14ac:dyDescent="0.3">
      <c r="A11" s="184"/>
      <c r="B11" s="217"/>
      <c r="C11" s="216">
        <f t="shared" si="0"/>
        <v>89</v>
      </c>
      <c r="D11" s="397" t="s">
        <v>250</v>
      </c>
      <c r="E11" s="399">
        <f>('COSTO DE FABRICACIÓN Y VENTAS'!E6-'costos de conversión'!K22-'costos de conversión'!K23)*15/300</f>
        <v>7432.0760198267817</v>
      </c>
      <c r="F11" s="190"/>
      <c r="G11" s="328"/>
      <c r="H11" s="328"/>
      <c r="I11" s="328"/>
      <c r="J11" s="328"/>
      <c r="K11" s="328"/>
      <c r="L11" s="328"/>
      <c r="M11" s="328"/>
      <c r="N11" s="328"/>
      <c r="O11" s="328"/>
      <c r="P11" s="328"/>
      <c r="Q11" s="328"/>
      <c r="R11" s="328"/>
    </row>
    <row r="12" spans="1:18" ht="15.75" thickBot="1" x14ac:dyDescent="0.3">
      <c r="A12" s="184"/>
      <c r="B12" s="195">
        <f>1+C11</f>
        <v>90</v>
      </c>
      <c r="C12" s="196"/>
      <c r="D12" s="197" t="s">
        <v>149</v>
      </c>
      <c r="E12" s="198">
        <f>SUM(E7:E11)</f>
        <v>15824.662979760677</v>
      </c>
      <c r="F12" s="184"/>
      <c r="G12" s="199"/>
      <c r="H12" s="199"/>
      <c r="I12" s="199"/>
      <c r="J12" s="199"/>
      <c r="K12" s="199"/>
      <c r="L12" s="199"/>
      <c r="M12" s="199"/>
      <c r="N12" s="199"/>
      <c r="O12" s="199"/>
      <c r="P12" s="199"/>
      <c r="Q12" s="199"/>
      <c r="R12" s="199"/>
    </row>
    <row r="13" spans="1:18" ht="15.75" thickBot="1" x14ac:dyDescent="0.3">
      <c r="A13" s="184"/>
      <c r="B13" s="331"/>
      <c r="C13" s="331"/>
      <c r="D13" s="331"/>
      <c r="E13" s="331"/>
      <c r="F13" s="184"/>
      <c r="G13" s="199"/>
      <c r="H13" s="199"/>
      <c r="I13" s="199"/>
      <c r="J13" s="199"/>
      <c r="K13" s="199"/>
      <c r="L13" s="199"/>
      <c r="M13" s="199"/>
      <c r="N13" s="199"/>
      <c r="O13" s="199"/>
      <c r="P13" s="199"/>
      <c r="Q13" s="199"/>
      <c r="R13" s="199"/>
    </row>
    <row r="14" spans="1:18" ht="15.75" thickBot="1" x14ac:dyDescent="0.3">
      <c r="A14" s="184"/>
      <c r="B14" s="170">
        <f>+B12+1</f>
        <v>91</v>
      </c>
      <c r="C14" s="171"/>
      <c r="D14" s="329" t="s">
        <v>150</v>
      </c>
      <c r="E14" s="330"/>
      <c r="F14" s="184"/>
      <c r="G14" s="199"/>
      <c r="H14" s="199"/>
      <c r="I14" s="199"/>
      <c r="J14" s="199"/>
      <c r="K14" s="199"/>
      <c r="L14" s="199"/>
      <c r="M14" s="199"/>
      <c r="N14" s="199"/>
      <c r="O14" s="199"/>
      <c r="P14" s="199"/>
      <c r="Q14" s="199"/>
      <c r="R14" s="199"/>
    </row>
    <row r="15" spans="1:18" x14ac:dyDescent="0.25">
      <c r="A15" s="184"/>
      <c r="B15" s="188"/>
      <c r="C15" s="189">
        <f>+B14+1</f>
        <v>92</v>
      </c>
      <c r="D15" s="400" t="s">
        <v>151</v>
      </c>
      <c r="E15" s="402">
        <v>38468</v>
      </c>
      <c r="F15" s="190"/>
      <c r="G15" s="328"/>
      <c r="H15" s="328"/>
      <c r="I15" s="328"/>
      <c r="J15" s="328"/>
      <c r="K15" s="328"/>
      <c r="L15" s="328"/>
      <c r="M15" s="328"/>
      <c r="N15" s="328"/>
      <c r="O15" s="328"/>
      <c r="P15" s="328"/>
      <c r="Q15" s="328"/>
      <c r="R15" s="328"/>
    </row>
    <row r="16" spans="1:18" x14ac:dyDescent="0.25">
      <c r="A16" s="184"/>
      <c r="B16" s="186"/>
      <c r="C16" s="61">
        <f>C15+1</f>
        <v>93</v>
      </c>
      <c r="D16" s="383" t="s">
        <v>152</v>
      </c>
      <c r="E16" s="403">
        <f>E8+('costo de mp y montos de venta'!G8)*30/300</f>
        <v>14099.314284184813</v>
      </c>
      <c r="F16" s="184"/>
      <c r="G16" s="326"/>
      <c r="H16" s="326"/>
      <c r="I16" s="326"/>
      <c r="J16" s="326"/>
      <c r="K16" s="326"/>
      <c r="L16" s="326"/>
      <c r="M16" s="326"/>
      <c r="N16" s="326"/>
      <c r="O16" s="326"/>
      <c r="P16" s="326"/>
      <c r="Q16" s="326"/>
      <c r="R16" s="326"/>
    </row>
    <row r="17" spans="1:18" x14ac:dyDescent="0.25">
      <c r="A17" s="184"/>
      <c r="B17" s="186"/>
      <c r="C17" s="61">
        <f t="shared" ref="C17:C19" si="1">C16+1</f>
        <v>94</v>
      </c>
      <c r="D17" s="383" t="s">
        <v>153</v>
      </c>
      <c r="E17" s="403">
        <v>0</v>
      </c>
      <c r="F17" s="184"/>
      <c r="G17" s="327"/>
      <c r="H17" s="327"/>
      <c r="I17" s="327"/>
      <c r="J17" s="327"/>
      <c r="K17" s="327"/>
      <c r="L17" s="327"/>
      <c r="M17" s="327"/>
      <c r="N17" s="327"/>
      <c r="O17" s="327"/>
      <c r="P17" s="327"/>
      <c r="Q17" s="327"/>
      <c r="R17" s="327"/>
    </row>
    <row r="18" spans="1:18" x14ac:dyDescent="0.25">
      <c r="A18" s="184"/>
      <c r="B18" s="186"/>
      <c r="C18" s="61">
        <f t="shared" si="1"/>
        <v>95</v>
      </c>
      <c r="D18" s="383" t="s">
        <v>154</v>
      </c>
      <c r="E18" s="403">
        <v>0</v>
      </c>
      <c r="F18" s="184"/>
      <c r="G18" s="327"/>
      <c r="H18" s="327"/>
      <c r="I18" s="327"/>
      <c r="J18" s="327"/>
      <c r="K18" s="327"/>
      <c r="L18" s="327"/>
      <c r="M18" s="327"/>
      <c r="N18" s="327"/>
      <c r="O18" s="327"/>
      <c r="P18" s="327"/>
      <c r="Q18" s="327"/>
      <c r="R18" s="327"/>
    </row>
    <row r="19" spans="1:18" ht="15.75" thickBot="1" x14ac:dyDescent="0.3">
      <c r="A19" s="184"/>
      <c r="B19" s="187"/>
      <c r="C19" s="61">
        <f t="shared" si="1"/>
        <v>96</v>
      </c>
      <c r="D19" s="401" t="s">
        <v>155</v>
      </c>
      <c r="E19" s="404">
        <v>1500</v>
      </c>
      <c r="F19" s="184"/>
      <c r="G19" s="328"/>
      <c r="H19" s="328"/>
      <c r="I19" s="328"/>
      <c r="J19" s="328"/>
      <c r="K19" s="328"/>
      <c r="L19" s="328"/>
      <c r="M19" s="328"/>
      <c r="N19" s="328"/>
      <c r="O19" s="328"/>
      <c r="P19" s="328"/>
      <c r="Q19" s="328"/>
      <c r="R19" s="328"/>
    </row>
    <row r="20" spans="1:18" ht="15.75" thickBot="1" x14ac:dyDescent="0.3">
      <c r="A20" s="184"/>
      <c r="B20" s="195">
        <f>C19+1</f>
        <v>97</v>
      </c>
      <c r="C20" s="196"/>
      <c r="D20" s="197" t="s">
        <v>156</v>
      </c>
      <c r="E20" s="198">
        <f>E15-E16-E17+E18+E19</f>
        <v>25868.685715815187</v>
      </c>
      <c r="F20" s="184"/>
      <c r="G20" s="326"/>
      <c r="H20" s="326"/>
      <c r="I20" s="326"/>
      <c r="J20" s="326"/>
      <c r="K20" s="326"/>
      <c r="L20" s="326"/>
      <c r="M20" s="326"/>
      <c r="N20" s="326"/>
      <c r="O20" s="326"/>
      <c r="P20" s="326"/>
      <c r="Q20" s="326"/>
      <c r="R20" s="326"/>
    </row>
    <row r="21" spans="1:18" ht="15.75" thickBot="1" x14ac:dyDescent="0.3">
      <c r="A21" s="184"/>
      <c r="B21" s="331"/>
      <c r="C21" s="331"/>
      <c r="D21" s="331"/>
      <c r="E21" s="331"/>
      <c r="F21" s="184"/>
      <c r="G21" s="199"/>
      <c r="H21" s="199"/>
      <c r="I21" s="199"/>
      <c r="J21" s="199"/>
      <c r="K21" s="199"/>
      <c r="L21" s="199"/>
      <c r="M21" s="199"/>
      <c r="N21" s="199"/>
      <c r="O21" s="199"/>
      <c r="P21" s="199"/>
      <c r="Q21" s="199"/>
      <c r="R21" s="199"/>
    </row>
    <row r="22" spans="1:18" ht="15.75" thickBot="1" x14ac:dyDescent="0.3">
      <c r="A22" s="184"/>
      <c r="B22" s="331"/>
      <c r="C22" s="331"/>
      <c r="D22" s="331"/>
      <c r="E22" s="331"/>
      <c r="F22" s="184"/>
      <c r="G22" s="199"/>
      <c r="H22" s="199"/>
      <c r="I22" s="199"/>
      <c r="J22" s="199"/>
      <c r="K22" s="199"/>
      <c r="L22" s="199"/>
      <c r="M22" s="199"/>
      <c r="N22" s="199"/>
      <c r="O22" s="199"/>
      <c r="P22" s="199"/>
      <c r="Q22" s="199"/>
      <c r="R22" s="199"/>
    </row>
    <row r="23" spans="1:18" ht="15.75" thickBot="1" x14ac:dyDescent="0.3">
      <c r="A23" s="184"/>
      <c r="B23" s="170">
        <f>+B20+1</f>
        <v>98</v>
      </c>
      <c r="C23" s="171"/>
      <c r="D23" s="329" t="s">
        <v>157</v>
      </c>
      <c r="E23" s="330"/>
      <c r="F23" s="184"/>
      <c r="G23" s="199"/>
      <c r="H23" s="199"/>
      <c r="I23" s="199"/>
      <c r="J23" s="199"/>
      <c r="K23" s="199"/>
      <c r="L23" s="199"/>
      <c r="M23" s="199"/>
      <c r="N23" s="199"/>
      <c r="O23" s="199"/>
      <c r="P23" s="199"/>
      <c r="Q23" s="199"/>
      <c r="R23" s="199"/>
    </row>
    <row r="24" spans="1:18" x14ac:dyDescent="0.25">
      <c r="A24" s="184"/>
      <c r="B24" s="185"/>
      <c r="C24" s="60">
        <f>+B23+1</f>
        <v>99</v>
      </c>
      <c r="D24" s="382" t="s">
        <v>158</v>
      </c>
      <c r="E24" s="31">
        <f>E12</f>
        <v>15824.662979760677</v>
      </c>
      <c r="F24" s="184"/>
      <c r="G24" s="326"/>
      <c r="H24" s="326"/>
      <c r="I24" s="326"/>
      <c r="J24" s="326"/>
      <c r="K24" s="326"/>
      <c r="L24" s="326"/>
      <c r="M24" s="326"/>
      <c r="N24" s="326"/>
      <c r="O24" s="326"/>
      <c r="P24" s="326"/>
      <c r="Q24" s="326"/>
      <c r="R24" s="326"/>
    </row>
    <row r="25" spans="1:18" ht="15.75" thickBot="1" x14ac:dyDescent="0.3">
      <c r="A25" s="184"/>
      <c r="B25" s="187"/>
      <c r="C25" s="191">
        <f>C24+1</f>
        <v>100</v>
      </c>
      <c r="D25" s="401" t="s">
        <v>159</v>
      </c>
      <c r="E25" s="29">
        <f>E20</f>
        <v>25868.685715815187</v>
      </c>
      <c r="F25" s="184"/>
      <c r="G25" s="326"/>
      <c r="H25" s="326"/>
      <c r="I25" s="326"/>
      <c r="J25" s="326"/>
      <c r="K25" s="326"/>
      <c r="L25" s="326"/>
      <c r="M25" s="326"/>
      <c r="N25" s="326"/>
      <c r="O25" s="326"/>
      <c r="P25" s="326"/>
      <c r="Q25" s="326"/>
      <c r="R25" s="326"/>
    </row>
    <row r="26" spans="1:18" ht="15.75" thickBot="1" x14ac:dyDescent="0.3">
      <c r="A26" s="184"/>
      <c r="B26" s="181">
        <f>C25+1</f>
        <v>101</v>
      </c>
      <c r="C26" s="182"/>
      <c r="D26" s="194" t="s">
        <v>160</v>
      </c>
      <c r="E26" s="183">
        <f>E24+E25</f>
        <v>41693.348695575864</v>
      </c>
      <c r="F26" s="184"/>
      <c r="G26" s="199"/>
      <c r="H26" s="199"/>
      <c r="I26" s="199"/>
      <c r="J26" s="199"/>
      <c r="K26" s="199"/>
      <c r="L26" s="199"/>
      <c r="M26" s="199"/>
      <c r="N26" s="199"/>
      <c r="O26" s="199"/>
      <c r="P26" s="199"/>
      <c r="Q26" s="199"/>
      <c r="R26" s="199"/>
    </row>
    <row r="27" spans="1:18" x14ac:dyDescent="0.25">
      <c r="A27" s="184"/>
      <c r="B27" s="192"/>
      <c r="C27" s="192"/>
      <c r="D27" s="184"/>
      <c r="E27" s="184"/>
      <c r="F27" s="184"/>
      <c r="G27" s="199"/>
      <c r="H27" s="199"/>
      <c r="I27" s="199"/>
      <c r="J27" s="199"/>
      <c r="K27" s="199"/>
      <c r="L27" s="199"/>
      <c r="M27" s="199"/>
      <c r="N27" s="199"/>
      <c r="O27" s="199"/>
      <c r="P27" s="199"/>
      <c r="Q27" s="199"/>
      <c r="R27" s="199"/>
    </row>
    <row r="28" spans="1:18" x14ac:dyDescent="0.25">
      <c r="A28" s="193"/>
      <c r="B28" s="193"/>
      <c r="C28" s="193"/>
      <c r="D28" s="193"/>
      <c r="E28" s="193"/>
      <c r="F28" s="193"/>
    </row>
    <row r="29" spans="1:18" x14ac:dyDescent="0.25">
      <c r="B29" t="s">
        <v>260</v>
      </c>
    </row>
    <row r="30" spans="1:18" x14ac:dyDescent="0.25">
      <c r="B30" t="s">
        <v>261</v>
      </c>
    </row>
    <row r="31" spans="1:18" x14ac:dyDescent="0.25">
      <c r="B31" t="s">
        <v>262</v>
      </c>
    </row>
    <row r="33" spans="2:5" ht="15.75" thickBot="1" x14ac:dyDescent="0.3"/>
    <row r="34" spans="2:5" ht="15.75" thickBot="1" x14ac:dyDescent="0.3">
      <c r="B34" s="170" t="s">
        <v>240</v>
      </c>
      <c r="C34" s="171"/>
      <c r="D34" s="329" t="s">
        <v>263</v>
      </c>
      <c r="E34" s="330"/>
    </row>
    <row r="35" spans="2:5" ht="20.100000000000001" customHeight="1" x14ac:dyDescent="0.25">
      <c r="B35" s="188"/>
      <c r="C35" s="189">
        <v>77</v>
      </c>
      <c r="D35" s="400" t="s">
        <v>264</v>
      </c>
      <c r="E35" s="402">
        <f>+'Capital Fijo'!F31</f>
        <v>82728.908437500009</v>
      </c>
    </row>
    <row r="36" spans="2:5" ht="20.100000000000001" customHeight="1" x14ac:dyDescent="0.25">
      <c r="B36" s="186"/>
      <c r="C36" s="61">
        <v>85</v>
      </c>
      <c r="D36" s="383" t="s">
        <v>265</v>
      </c>
      <c r="E36" s="403">
        <f>+'Activos Intangibles'!E13</f>
        <v>6523.3138032193865</v>
      </c>
    </row>
    <row r="37" spans="2:5" ht="20.100000000000001" customHeight="1" thickBot="1" x14ac:dyDescent="0.3">
      <c r="B37" s="186"/>
      <c r="C37" s="61">
        <v>101</v>
      </c>
      <c r="D37" s="383" t="s">
        <v>266</v>
      </c>
      <c r="E37" s="403">
        <f>+E26</f>
        <v>41693.348695575864</v>
      </c>
    </row>
    <row r="38" spans="2:5" ht="24" customHeight="1" thickBot="1" x14ac:dyDescent="0.3">
      <c r="B38" s="195" t="s">
        <v>240</v>
      </c>
      <c r="C38" s="196"/>
      <c r="D38" s="197" t="s">
        <v>269</v>
      </c>
      <c r="E38" s="198">
        <f>SUM(E35:E37)</f>
        <v>130945.57093629526</v>
      </c>
    </row>
  </sheetData>
  <mergeCells count="23">
    <mergeCell ref="D34:E34"/>
    <mergeCell ref="B2:E2"/>
    <mergeCell ref="B3:C4"/>
    <mergeCell ref="D3:D4"/>
    <mergeCell ref="B5:E5"/>
    <mergeCell ref="D6:E6"/>
    <mergeCell ref="D23:E23"/>
    <mergeCell ref="G8:R8"/>
    <mergeCell ref="G9:R9"/>
    <mergeCell ref="G10:R10"/>
    <mergeCell ref="G11:R11"/>
    <mergeCell ref="G15:R15"/>
    <mergeCell ref="G16:R16"/>
    <mergeCell ref="G17:R17"/>
    <mergeCell ref="B13:E13"/>
    <mergeCell ref="D14:E14"/>
    <mergeCell ref="B21:E21"/>
    <mergeCell ref="B22:E22"/>
    <mergeCell ref="G24:R24"/>
    <mergeCell ref="G25:R25"/>
    <mergeCell ref="G18:R18"/>
    <mergeCell ref="G19:R19"/>
    <mergeCell ref="G20:R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PLANILLA DE PERSONAL</vt:lpstr>
      <vt:lpstr>costo de mp y montos de venta</vt:lpstr>
      <vt:lpstr>costos de conversión</vt:lpstr>
      <vt:lpstr>Gastos de envasado</vt:lpstr>
      <vt:lpstr>Gasto de ventas</vt:lpstr>
      <vt:lpstr>COSTO DE FABRICACIÓN Y VENTAS</vt:lpstr>
      <vt:lpstr>Capital Fijo</vt:lpstr>
      <vt:lpstr>Activos Intangibles</vt:lpstr>
      <vt:lpstr>Capital de trabajo</vt:lpstr>
      <vt:lpstr>OBSERVACIONES Y REFERENCIAS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 de Windows</cp:lastModifiedBy>
  <dcterms:created xsi:type="dcterms:W3CDTF">2016-08-22T12:28:36Z</dcterms:created>
  <dcterms:modified xsi:type="dcterms:W3CDTF">2022-01-31T20:37:17Z</dcterms:modified>
</cp:coreProperties>
</file>